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F:\UDEMY STAAD\STAAD PART -1\40. DETAILING OF SRUCTURES\1. DESIGN OF ISOLATED FOOTING\"/>
    </mc:Choice>
  </mc:AlternateContent>
  <xr:revisionPtr revIDLastSave="0" documentId="13_ncr:1_{A104D978-C6F3-494A-8307-55D609662035}" xr6:coauthVersionLast="43" xr6:coauthVersionMax="43" xr10:uidLastSave="{00000000-0000-0000-0000-000000000000}"/>
  <workbookProtection workbookPassword="C85A" lockStructure="1"/>
  <bookViews>
    <workbookView xWindow="-120" yWindow="-120" windowWidth="20730" windowHeight="11160" tabRatio="771" activeTab="3" xr2:uid="{00000000-000D-0000-FFFF-FFFF00000000}"/>
  </bookViews>
  <sheets>
    <sheet name="Instructions" sheetId="1" r:id="rId1"/>
    <sheet name="Footing Design" sheetId="2" r:id="rId2"/>
    <sheet name="_SSC" sheetId="8" state="veryHidden" r:id="rId3"/>
    <sheet name="Isolated Footing Design" sheetId="6" r:id="rId4"/>
  </sheets>
  <definedNames>
    <definedName name="_inputcolorcell" hidden="1">'Isolated Footing Design'!$D$51</definedName>
    <definedName name="_xlnm.Print_Area" localSheetId="3">'Isolated Footing Design'!$A$1:$J$76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5" i="6" l="1"/>
  <c r="D68" i="6"/>
  <c r="D67" i="6" l="1"/>
  <c r="D18" i="2" l="1"/>
  <c r="D69" i="6"/>
  <c r="D88" i="6"/>
  <c r="D48" i="6"/>
  <c r="D75" i="6"/>
  <c r="D80" i="6"/>
  <c r="D57" i="6"/>
  <c r="D56" i="6"/>
  <c r="D54" i="6"/>
  <c r="D43" i="6"/>
  <c r="D42" i="6"/>
  <c r="D66" i="6"/>
  <c r="D65" i="6"/>
  <c r="D30" i="6"/>
  <c r="D32" i="6"/>
  <c r="D62" i="2"/>
  <c r="D39" i="6"/>
  <c r="D40" i="6" s="1"/>
  <c r="D26" i="6"/>
  <c r="D25" i="6"/>
  <c r="D16" i="2"/>
  <c r="D17" i="2" s="1"/>
  <c r="D23" i="2"/>
  <c r="D24" i="2"/>
  <c r="D28" i="2"/>
  <c r="D30" i="2"/>
  <c r="F30" i="2" s="1"/>
  <c r="D37" i="2"/>
  <c r="D38" i="2" s="1"/>
  <c r="D45" i="2"/>
  <c r="D46" i="2"/>
  <c r="D65" i="2"/>
  <c r="D70" i="2"/>
  <c r="D49" i="6" l="1"/>
  <c r="D59" i="6"/>
  <c r="D79" i="6"/>
  <c r="D44" i="6"/>
  <c r="F28" i="2"/>
  <c r="D20" i="2"/>
  <c r="G22" i="2" s="1"/>
  <c r="D69" i="2"/>
  <c r="D63" i="2"/>
  <c r="D64" i="2" s="1"/>
  <c r="F65" i="2" s="1"/>
  <c r="D58" i="2"/>
  <c r="D18" i="6"/>
  <c r="D19" i="6" s="1"/>
  <c r="F32" i="6"/>
  <c r="D35" i="2"/>
  <c r="D36" i="2" s="1"/>
  <c r="D47" i="2"/>
  <c r="D48" i="2" s="1"/>
  <c r="D49" i="2" s="1"/>
  <c r="D71" i="2"/>
  <c r="D72" i="2" s="1"/>
  <c r="D73" i="2" s="1"/>
  <c r="D70" i="6" l="1"/>
  <c r="D71" i="6" s="1"/>
  <c r="D72" i="6" s="1"/>
  <c r="D73" i="6" s="1"/>
  <c r="D50" i="6"/>
  <c r="D55" i="6"/>
  <c r="D58" i="6" s="1"/>
  <c r="D81" i="6"/>
  <c r="D82" i="6" s="1"/>
  <c r="D84" i="6" s="1"/>
  <c r="D51" i="2"/>
  <c r="D20" i="6"/>
  <c r="D22" i="6" s="1"/>
  <c r="D37" i="6"/>
  <c r="D38" i="6" s="1"/>
  <c r="F30" i="6"/>
  <c r="D75" i="2"/>
  <c r="D85" i="6" l="1"/>
  <c r="D86" i="6" s="1"/>
  <c r="D83" i="6"/>
  <c r="F59" i="6"/>
  <c r="D77" i="2"/>
  <c r="D76" i="2"/>
  <c r="D52" i="2"/>
  <c r="D59" i="2" s="1"/>
  <c r="F59" i="2" s="1"/>
  <c r="D53" i="2" l="1"/>
</calcChain>
</file>

<file path=xl/sharedStrings.xml><?xml version="1.0" encoding="utf-8"?>
<sst xmlns="http://schemas.openxmlformats.org/spreadsheetml/2006/main" count="270" uniqueCount="126">
  <si>
    <t>Read the following instruction before proceeding for Design</t>
  </si>
  <si>
    <t>The design as per IS 456:2000 (Plain and reinforced concrete - code of practice) - Limit state method of design</t>
  </si>
  <si>
    <t>The design approach is on the conservative side and for a economical design the user should follow either manual calculation</t>
  </si>
  <si>
    <t>or any other relavant software/tool</t>
  </si>
  <si>
    <t>For bearing capacity of soil the user refer documents related to soil investigation of the site.</t>
  </si>
  <si>
    <t>Warning message is displayed if the footing pressure exceeds soil bearing capacity or if it is less than zero</t>
  </si>
  <si>
    <t>For Pipe rack foundations, it should be ensure that the minimum contact area of footing with soil should be 75%</t>
  </si>
  <si>
    <t>This design sheet carries out Flexure design, One way shear check and Two way shear check</t>
  </si>
  <si>
    <t>b= should be always  the longer side of the column</t>
  </si>
  <si>
    <t>d= should be always  the shorter side of the column</t>
  </si>
  <si>
    <t>Bf= should be always  the the longer side of the footing</t>
  </si>
  <si>
    <t>Df= should be always the shorter side of the footing</t>
  </si>
  <si>
    <t>In flexure, the footing will be designed for maximum pressure</t>
  </si>
  <si>
    <t>All the cells that have border are to be filled by the user.</t>
  </si>
  <si>
    <t>Disclaimer</t>
  </si>
  <si>
    <t xml:space="preserve">This program has been prepared with utmost accuracy, still the AUTHOR does not hold any </t>
  </si>
  <si>
    <t>responsibility for discrepancy occuring due to the use/misuse of this program</t>
  </si>
  <si>
    <t>Data:</t>
  </si>
  <si>
    <t>Column no.</t>
  </si>
  <si>
    <t>load case</t>
  </si>
  <si>
    <t>Concrete grade, M</t>
  </si>
  <si>
    <t>Steel grade, Fe</t>
  </si>
  <si>
    <t>Axial load, kN</t>
  </si>
  <si>
    <t>kN</t>
  </si>
  <si>
    <t>d1          d</t>
  </si>
  <si>
    <t>My, kNm</t>
  </si>
  <si>
    <t>kNm</t>
  </si>
  <si>
    <t>Mz, kNm</t>
  </si>
  <si>
    <t>Column size, b</t>
  </si>
  <si>
    <t>mm</t>
  </si>
  <si>
    <t>Column size, d</t>
  </si>
  <si>
    <t>b</t>
  </si>
  <si>
    <t>Bf</t>
  </si>
  <si>
    <t>SBC of soil, kN/m2</t>
  </si>
  <si>
    <t>kN/m2</t>
  </si>
  <si>
    <t>Design factor</t>
  </si>
  <si>
    <t>Pressure:</t>
  </si>
  <si>
    <t>Axial load</t>
  </si>
  <si>
    <t>b1</t>
  </si>
  <si>
    <t>App. Self weight</t>
  </si>
  <si>
    <t>Total weight</t>
  </si>
  <si>
    <t>Area of footing</t>
  </si>
  <si>
    <t>m2</t>
  </si>
  <si>
    <t>Df</t>
  </si>
  <si>
    <t>size of footing, Bf</t>
  </si>
  <si>
    <t>mt</t>
  </si>
  <si>
    <t>size of footing, Df</t>
  </si>
  <si>
    <t>Projection, b1</t>
  </si>
  <si>
    <t>Projection, d1</t>
  </si>
  <si>
    <t>Footing Pressure,</t>
  </si>
  <si>
    <t>Pmax = P/A + My/Zy + Mz/Zz</t>
  </si>
  <si>
    <t>Pmax</t>
  </si>
  <si>
    <t>Pmin = P/A - My/Zy - Mz/Zz</t>
  </si>
  <si>
    <t>Pmin</t>
  </si>
  <si>
    <t>Eccentricity:</t>
  </si>
  <si>
    <t>Y</t>
  </si>
  <si>
    <t>X</t>
  </si>
  <si>
    <t>L</t>
  </si>
  <si>
    <t>2/3 L</t>
  </si>
  <si>
    <t>Flexure design:</t>
  </si>
  <si>
    <t>For section efbg</t>
  </si>
  <si>
    <t>pressure@f</t>
  </si>
  <si>
    <t>pressure@b</t>
  </si>
  <si>
    <t>Moment@eg. Meg</t>
  </si>
  <si>
    <t>Mu</t>
  </si>
  <si>
    <t>d req</t>
  </si>
  <si>
    <t>d provided</t>
  </si>
  <si>
    <t>Mu/bd2</t>
  </si>
  <si>
    <t>N/mm2</t>
  </si>
  <si>
    <t>pt</t>
  </si>
  <si>
    <t>%</t>
  </si>
  <si>
    <t>Ast</t>
  </si>
  <si>
    <t>mm2/ mt width</t>
  </si>
  <si>
    <t>provide</t>
  </si>
  <si>
    <t>16#</t>
  </si>
  <si>
    <t>125 C/C</t>
  </si>
  <si>
    <t>Shear Chk.</t>
  </si>
  <si>
    <t>Vu</t>
  </si>
  <si>
    <t>Vuc</t>
  </si>
  <si>
    <t xml:space="preserve">Perimeter </t>
  </si>
  <si>
    <t>S.F. at this section</t>
  </si>
  <si>
    <t>Stress</t>
  </si>
  <si>
    <t>Permissible stress</t>
  </si>
  <si>
    <t>Check in other direction :</t>
  </si>
  <si>
    <t>For section abcd</t>
  </si>
  <si>
    <t>pressure@c</t>
  </si>
  <si>
    <t>Moment@ad, Mad</t>
  </si>
  <si>
    <t>M/bd2</t>
  </si>
  <si>
    <r>
      <t>One way Shear :</t>
    </r>
    <r>
      <rPr>
        <sz val="10"/>
        <rFont val="Georgia"/>
        <family val="1"/>
      </rPr>
      <t xml:space="preserve"> At distance d from face of column.</t>
    </r>
  </si>
  <si>
    <r>
      <t>Two way Shear :</t>
    </r>
    <r>
      <rPr>
        <sz val="10"/>
        <rFont val="Georgia"/>
        <family val="1"/>
      </rPr>
      <t xml:space="preserve"> At distance d/2 from face of column.</t>
    </r>
  </si>
  <si>
    <t>stream 2 existing raft column E7</t>
  </si>
  <si>
    <t>This foundation is safe for carrying stream 3 carbonation tank loads</t>
  </si>
  <si>
    <t>Design of Reinforced Concrete Isolated pad foundation</t>
  </si>
  <si>
    <t>mt, for Mz</t>
  </si>
  <si>
    <t>mt, for My (this should be longer)</t>
  </si>
  <si>
    <t>{"IsHide":true,"SheetId":2,"Name":"Footing Design","HiddenRow":2,"VisibleRange":"","SheetTheme":{"TabColor":"","BodyColor":"","BodyImage":""}}</t>
  </si>
  <si>
    <t>{"IsHide":true,"SheetId":1,"Name":"Instructions","HiddenRow":1,"VisibleRange":"","SheetTheme":{"TabColor":"","BodyColor":"","BodyImage":""}}</t>
  </si>
  <si>
    <t>pt assumed</t>
  </si>
  <si>
    <r>
      <t>N/mm</t>
    </r>
    <r>
      <rPr>
        <vertAlign val="superscript"/>
        <sz val="10"/>
        <rFont val="Georgia"/>
        <family val="1"/>
      </rPr>
      <t>2</t>
    </r>
  </si>
  <si>
    <t>d=</t>
  </si>
  <si>
    <t>qu</t>
  </si>
  <si>
    <r>
      <t>kN/m</t>
    </r>
    <r>
      <rPr>
        <vertAlign val="superscript"/>
        <sz val="10"/>
        <rFont val="Georgia"/>
        <family val="1"/>
      </rPr>
      <t>2</t>
    </r>
  </si>
  <si>
    <t>Eff. qu</t>
  </si>
  <si>
    <t>Ks</t>
  </si>
  <si>
    <t>tc</t>
  </si>
  <si>
    <t>Resistance</t>
  </si>
  <si>
    <r>
      <t>Two way Shear :</t>
    </r>
    <r>
      <rPr>
        <b/>
        <sz val="10"/>
        <rFont val="Georgia"/>
        <family val="1"/>
      </rPr>
      <t xml:space="preserve"> At distance d/2 from face of column.</t>
    </r>
  </si>
  <si>
    <r>
      <t>One way Shear :</t>
    </r>
    <r>
      <rPr>
        <b/>
        <sz val="10"/>
        <rFont val="Georgia"/>
        <family val="1"/>
      </rPr>
      <t xml:space="preserve"> At distance d from face of column.</t>
    </r>
  </si>
  <si>
    <t>pt provided</t>
  </si>
  <si>
    <t>Ast Provided</t>
  </si>
  <si>
    <t>Designed shear stress</t>
  </si>
  <si>
    <t>vu</t>
  </si>
  <si>
    <t>tv</t>
  </si>
  <si>
    <r>
      <t>mm</t>
    </r>
    <r>
      <rPr>
        <vertAlign val="superscript"/>
        <sz val="10"/>
        <rFont val="Georgia"/>
        <family val="1"/>
      </rPr>
      <t>2</t>
    </r>
    <r>
      <rPr>
        <sz val="10"/>
        <rFont val="Georgia"/>
        <family val="1"/>
      </rPr>
      <t>/m width</t>
    </r>
  </si>
  <si>
    <t>Ast provided</t>
  </si>
  <si>
    <r>
      <t>mm</t>
    </r>
    <r>
      <rPr>
        <b/>
        <vertAlign val="superscript"/>
        <sz val="10"/>
        <rFont val="Georgia"/>
        <family val="1"/>
      </rPr>
      <t>2</t>
    </r>
  </si>
  <si>
    <r>
      <t>mm</t>
    </r>
    <r>
      <rPr>
        <b/>
        <vertAlign val="superscript"/>
        <sz val="10"/>
        <rFont val="Georgia"/>
        <family val="1"/>
      </rPr>
      <t>2</t>
    </r>
    <r>
      <rPr>
        <b/>
        <sz val="10"/>
        <rFont val="Georgia"/>
        <family val="1"/>
      </rPr>
      <t>/m width</t>
    </r>
  </si>
  <si>
    <t>DESIGN OF ISOLATED FOOTING - SPREADSHEET</t>
  </si>
  <si>
    <t>AS PER IS 456: 2000</t>
  </si>
  <si>
    <t>{"IsHide":false,"SheetId":0,"Name":"Isolated Footing Design","HiddenRow":0,"VisibleRange":"","SheetTheme":{"TabColor":"","BodyColor":"","BodyImage":""}}</t>
  </si>
  <si>
    <t>_Ctrl_1</t>
  </si>
  <si>
    <t>_Ctrl_2</t>
  </si>
  <si>
    <t>_Ctrl_3</t>
  </si>
  <si>
    <t>{"Captcha":{"Heading":"Enter the number displayed below.","Message":"This is to verify that you are a human visitor, to prevent automated form submissions.","OkButton":"OK","CancelButton":"Cancel","ErrorMessage":"Your answer is incorrect, please try again."},"RequiredField":{"ErrorMessage":"The fields with the red border are required.","OkButton":"OK","DDLDefaultRequiredText":"Please Select"},"WizardButton":{"Next":"Next","Previous":"Previous","Cancel":"Cancel","Finish":"Finish"},"ToolbarButton":{"Submit":"Submit","Print":"Print","PrintAll":"Print All","Reset":"Reset","Update":"Update","Back":"Back"},"BrowserAndLocation":{"Browsers":[{"Name":"chrome.exe"}],"ConversionPath":"C:\\Users\\mgm041373\\Desktop"},"AdvancedSettingsModels":[],"Dropbox":{"AccessToken":"","AccessSecret":""},"SpreadsheetServer":{"Username":"","Password":"","ServerUrl":""},"ConfigureSubmitDefault":{"Email":""},"MessageBubble":{"Close":false,"TopMsg":0}}</t>
  </si>
  <si>
    <t>{"ButtonStyle":0,"Name":"Isolated Footing Design Spreadsheet As Per IS 456","HideSscPoweredlogo":false,"LiveShare":{"Enable":true},"CopyProtect":{"IsEnabled":false,"DomainName":""},"Theme":{"BgColor":"#FFFFFFFF","BgImage":"","InputBorderStyle":2},"Layout":4,"LayoutConfig":{"IsSamePagesHeight":false},"SmartphoneSettings":{"ViewportLock":false,"UseOldViewEngine":false,"EnableZoom":true,"EnableSwipe":true,"HideToolbar":true,"InheritBackgroundColor":false,"CheckboxFlavor":2,"ShowBubble":true},"SmartphoneTheme":0,"InputDetection":1,"Toolbar":{"Position":1,"IsSubmit":false,"IsPrint":true,"IsPrintAll":false,"IsReset":true,"IsUpdate":true},"AspnetConfig":{"BrowseUrl":"http://localhost/ssc","FileExtension":0},"NodejsConfig":{"LocalPort":3000},"ConfigureSubmit":{"IsShowCaptcha":false,"IsUseSscWebServer":true,"ReceiverCode":"","IsFreeService":false,"IsAdvanceService":false,"IsDemonstrationService":true,"AfterSuccessfulSubmit":"","AfterFailSubmit":"","AfterCancelWizard":"","IsUseOwnWebServer":false,"OwnWebServerURL":"","OwnWebServerTarget":"","SubmitTarget":0},"Flavor":3,"Edition":3,"IgnoreBgInputCell":true}</t>
  </si>
  <si>
    <t>t/m2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</si>
</sst>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0"/>
    <numFmt numFmtId="166" formatCode="#,##0.0"/>
    <numFmt numFmtId="167" formatCode="0&quot;#&quot;"/>
    <numFmt numFmtId="168" formatCode="&quot;@&quot;0&quot;c/c&quot;"/>
  </numFmts>
  <fonts count="15">
    <font>
      <sz val="10"/>
      <name val="Arial"/>
      <family val="2"/>
    </font>
    <font>
      <sz val="12"/>
      <color indexed="12"/>
      <name val="Georgia"/>
      <family val="1"/>
    </font>
    <font>
      <b/>
      <sz val="12"/>
      <color indexed="12"/>
      <name val="Georgia"/>
      <family val="1"/>
    </font>
    <font>
      <b/>
      <sz val="16"/>
      <color indexed="10"/>
      <name val="Georgia"/>
      <family val="1"/>
    </font>
    <font>
      <b/>
      <sz val="10"/>
      <name val="Arial"/>
      <family val="2"/>
    </font>
    <font>
      <b/>
      <u/>
      <sz val="10"/>
      <name val="Georgia"/>
      <family val="1"/>
    </font>
    <font>
      <sz val="10"/>
      <name val="Georgia"/>
      <family val="1"/>
    </font>
    <font>
      <b/>
      <sz val="10"/>
      <name val="Georgia"/>
      <family val="1"/>
    </font>
    <font>
      <u/>
      <sz val="10"/>
      <name val="Georgia"/>
      <family val="1"/>
    </font>
    <font>
      <sz val="10"/>
      <color theme="0"/>
      <name val="Georgia"/>
      <family val="1"/>
    </font>
    <font>
      <i/>
      <sz val="10"/>
      <name val="Georgia"/>
      <family val="1"/>
    </font>
    <font>
      <sz val="10"/>
      <name val="Constantia"/>
      <family val="1"/>
    </font>
    <font>
      <sz val="18"/>
      <color theme="0"/>
      <name val="Staccato222 BT"/>
      <family val="4"/>
    </font>
    <font>
      <vertAlign val="superscript"/>
      <sz val="10"/>
      <name val="Georgia"/>
      <family val="1"/>
    </font>
    <font>
      <b/>
      <vertAlign val="superscript"/>
      <sz val="10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26"/>
      </patternFill>
    </fill>
    <fill>
      <patternFill patternType="solid">
        <fgColor theme="2" tint="-0.499984740745262"/>
        <bgColor indexed="26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0" fillId="2" borderId="0" xfId="0" applyFill="1"/>
    <xf numFmtId="0" fontId="4" fillId="2" borderId="0" xfId="0" applyFont="1" applyFill="1"/>
    <xf numFmtId="0" fontId="5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/>
    </xf>
    <xf numFmtId="0" fontId="7" fillId="2" borderId="0" xfId="0" applyFont="1" applyFill="1" applyAlignment="1" applyProtection="1">
      <alignment horizontal="right" vertical="center"/>
    </xf>
    <xf numFmtId="0" fontId="6" fillId="2" borderId="0" xfId="0" applyFont="1" applyFill="1" applyAlignment="1" applyProtection="1">
      <alignment horizontal="right" vertical="center"/>
    </xf>
    <xf numFmtId="0" fontId="6" fillId="2" borderId="2" xfId="0" applyFont="1" applyFill="1" applyBorder="1" applyAlignment="1" applyProtection="1">
      <alignment vertical="center"/>
    </xf>
    <xf numFmtId="4" fontId="6" fillId="2" borderId="0" xfId="0" applyNumberFormat="1" applyFont="1" applyFill="1" applyAlignment="1" applyProtection="1">
      <alignment vertical="center"/>
    </xf>
    <xf numFmtId="0" fontId="7" fillId="2" borderId="0" xfId="0" applyFont="1" applyFill="1" applyAlignment="1" applyProtection="1">
      <alignment horizontal="left" vertical="center"/>
    </xf>
    <xf numFmtId="164" fontId="6" fillId="2" borderId="0" xfId="0" applyNumberFormat="1" applyFont="1" applyFill="1" applyAlignment="1" applyProtection="1">
      <alignment vertical="center"/>
    </xf>
    <xf numFmtId="0" fontId="6" fillId="2" borderId="0" xfId="0" applyFont="1" applyFill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165" fontId="6" fillId="2" borderId="0" xfId="0" applyNumberFormat="1" applyFont="1" applyFill="1" applyAlignment="1" applyProtection="1">
      <alignment vertical="center"/>
    </xf>
    <xf numFmtId="0" fontId="6" fillId="2" borderId="1" xfId="0" applyFont="1" applyFill="1" applyBorder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 vertical="center"/>
    </xf>
    <xf numFmtId="0" fontId="6" fillId="2" borderId="0" xfId="0" applyFont="1" applyFill="1" applyBorder="1" applyAlignment="1" applyProtection="1">
      <alignment vertical="center"/>
    </xf>
    <xf numFmtId="0" fontId="10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166" fontId="6" fillId="2" borderId="0" xfId="0" applyNumberFormat="1" applyFont="1" applyFill="1" applyAlignment="1" applyProtection="1">
      <alignment vertical="center"/>
    </xf>
    <xf numFmtId="0" fontId="9" fillId="4" borderId="0" xfId="0" applyFont="1" applyFill="1" applyAlignment="1" applyProtection="1">
      <alignment vertical="center"/>
    </xf>
    <xf numFmtId="0" fontId="6" fillId="4" borderId="0" xfId="0" applyFont="1" applyFill="1" applyAlignment="1" applyProtection="1">
      <alignment vertical="center"/>
    </xf>
    <xf numFmtId="0" fontId="12" fillId="4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right" vertical="center"/>
    </xf>
    <xf numFmtId="0" fontId="6" fillId="0" borderId="0" xfId="0" applyFont="1" applyFill="1" applyAlignment="1" applyProtection="1">
      <alignment horizontal="right" vertical="center"/>
    </xf>
    <xf numFmtId="4" fontId="6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164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4" fontId="6" fillId="0" borderId="0" xfId="0" applyNumberFormat="1" applyFont="1" applyFill="1" applyBorder="1" applyAlignment="1" applyProtection="1">
      <alignment vertical="center"/>
      <protection locked="0"/>
    </xf>
    <xf numFmtId="165" fontId="6" fillId="0" borderId="0" xfId="0" applyNumberFormat="1" applyFont="1" applyFill="1" applyAlignment="1" applyProtection="1">
      <alignment vertical="center"/>
    </xf>
    <xf numFmtId="166" fontId="6" fillId="0" borderId="0" xfId="0" applyNumberFormat="1" applyFont="1" applyFill="1" applyAlignment="1" applyProtection="1">
      <alignment vertical="center"/>
    </xf>
    <xf numFmtId="1" fontId="7" fillId="0" borderId="0" xfId="0" applyNumberFormat="1" applyFont="1" applyFill="1" applyAlignment="1" applyProtection="1">
      <alignment vertical="center"/>
    </xf>
    <xf numFmtId="3" fontId="6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center"/>
    </xf>
    <xf numFmtId="0" fontId="6" fillId="5" borderId="3" xfId="0" applyFont="1" applyFill="1" applyBorder="1" applyAlignment="1" applyProtection="1">
      <alignment vertical="center"/>
      <protection locked="0"/>
    </xf>
    <xf numFmtId="0" fontId="6" fillId="5" borderId="3" xfId="0" applyFont="1" applyFill="1" applyBorder="1" applyAlignment="1" applyProtection="1">
      <alignment vertical="center"/>
    </xf>
    <xf numFmtId="167" fontId="6" fillId="5" borderId="0" xfId="0" applyNumberFormat="1" applyFont="1" applyFill="1" applyBorder="1" applyAlignment="1" applyProtection="1">
      <alignment horizontal="right" vertical="center"/>
      <protection locked="0"/>
    </xf>
    <xf numFmtId="168" fontId="6" fillId="5" borderId="0" xfId="0" applyNumberFormat="1" applyFont="1" applyFill="1" applyBorder="1" applyAlignment="1" applyProtection="1">
      <alignment horizontal="left" vertical="center"/>
      <protection locked="0"/>
    </xf>
    <xf numFmtId="0" fontId="11" fillId="3" borderId="1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14">
    <dxf>
      <font>
        <b val="0"/>
        <condense val="0"/>
        <extend val="0"/>
        <color indexed="10"/>
      </font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57"/>
      </font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12"/>
      </font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57"/>
      </font>
    </dxf>
    <dxf>
      <font>
        <b val="0"/>
        <condense val="0"/>
        <extend val="0"/>
        <color indexed="1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Revision note'!A1"/><Relationship Id="rId1" Type="http://schemas.openxmlformats.org/officeDocument/2006/relationships/hyperlink" Target="#'Footing Design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Revision note'!A1"/><Relationship Id="rId1" Type="http://schemas.openxmlformats.org/officeDocument/2006/relationships/hyperlink" Target="#Instructions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28575</xdr:rowOff>
    </xdr:from>
    <xdr:to>
      <xdr:col>11</xdr:col>
      <xdr:colOff>200025</xdr:colOff>
      <xdr:row>1</xdr:row>
      <xdr:rowOff>57150</xdr:rowOff>
    </xdr:to>
    <xdr:sp macro="" textlink="" fLocksText="0">
      <xdr:nvSpPr>
        <xdr:cNvPr id="1025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572125" y="28575"/>
          <a:ext cx="1371600" cy="219075"/>
        </a:xfrm>
        <a:prstGeom prst="round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wrap="square" lIns="20160" tIns="20160" rIns="20160" bIns="20160" anchor="t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Go to Footing Design</a:t>
          </a:r>
        </a:p>
      </xdr:txBody>
    </xdr:sp>
    <xdr:clientData/>
  </xdr:twoCellAnchor>
  <xdr:twoCellAnchor>
    <xdr:from>
      <xdr:col>0</xdr:col>
      <xdr:colOff>590550</xdr:colOff>
      <xdr:row>0</xdr:row>
      <xdr:rowOff>47625</xdr:rowOff>
    </xdr:from>
    <xdr:to>
      <xdr:col>8</xdr:col>
      <xdr:colOff>114300</xdr:colOff>
      <xdr:row>1</xdr:row>
      <xdr:rowOff>85725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0550" y="47625"/>
          <a:ext cx="4438650" cy="228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noFill/>
                <a:round/>
                <a:headEnd/>
                <a:tailEnd/>
              </a:ln>
              <a:solidFill>
                <a:srgbClr val="336699"/>
              </a:solidFill>
              <a:effectLst/>
              <a:latin typeface="Times New Roman"/>
              <a:cs typeface="Times New Roman"/>
            </a:rPr>
            <a:t>Design of Isolated Pad Foundation</a:t>
          </a:r>
        </a:p>
      </xdr:txBody>
    </xdr:sp>
    <xdr:clientData/>
  </xdr:twoCellAnchor>
  <xdr:twoCellAnchor>
    <xdr:from>
      <xdr:col>4</xdr:col>
      <xdr:colOff>428625</xdr:colOff>
      <xdr:row>16</xdr:row>
      <xdr:rowOff>66675</xdr:rowOff>
    </xdr:from>
    <xdr:to>
      <xdr:col>5</xdr:col>
      <xdr:colOff>581025</xdr:colOff>
      <xdr:row>17</xdr:row>
      <xdr:rowOff>28575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905125" y="3057525"/>
          <a:ext cx="762000" cy="304800"/>
        </a:xfrm>
        <a:prstGeom prst="rect">
          <a:avLst/>
        </a:prstGeom>
        <a:solidFill>
          <a:srgbClr val="FFFFFF">
            <a:alpha val="0"/>
          </a:srgbClr>
        </a:solidFill>
        <a:ln w="2844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266700</xdr:colOff>
      <xdr:row>0</xdr:row>
      <xdr:rowOff>28575</xdr:rowOff>
    </xdr:from>
    <xdr:to>
      <xdr:col>13</xdr:col>
      <xdr:colOff>419100</xdr:colOff>
      <xdr:row>1</xdr:row>
      <xdr:rowOff>57150</xdr:rowOff>
    </xdr:to>
    <xdr:sp macro="" textlink="" fLocksText="0">
      <xdr:nvSpPr>
        <xdr:cNvPr id="5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010400" y="28575"/>
          <a:ext cx="1371600" cy="219075"/>
        </a:xfrm>
        <a:prstGeom prst="round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wrap="square" lIns="20160" tIns="20160" rIns="20160" bIns="20160" anchor="t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Revision notes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8</xdr:row>
      <xdr:rowOff>57150</xdr:rowOff>
    </xdr:from>
    <xdr:to>
      <xdr:col>8</xdr:col>
      <xdr:colOff>304800</xdr:colOff>
      <xdr:row>13</xdr:row>
      <xdr:rowOff>28575</xdr:rowOff>
    </xdr:to>
    <xdr:sp macro="" textlink="">
      <xdr:nvSpPr>
        <xdr:cNvPr id="2058" name="Rectangle 10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>
          <a:spLocks noChangeArrowheads="1"/>
        </xdr:cNvSpPr>
      </xdr:nvSpPr>
      <xdr:spPr bwMode="auto">
        <a:xfrm>
          <a:off x="4648200" y="1352550"/>
          <a:ext cx="533400" cy="781050"/>
        </a:xfrm>
        <a:prstGeom prst="rect">
          <a:avLst/>
        </a:prstGeom>
        <a:noFill/>
        <a:ln w="19080">
          <a:solidFill>
            <a:srgbClr val="000000"/>
          </a:solidFill>
          <a:prstDash val="lgDash"/>
          <a:miter lim="800000"/>
          <a:headEnd/>
          <a:tailEnd/>
        </a:ln>
        <a:effectLst/>
      </xdr:spPr>
    </xdr:sp>
    <xdr:clientData/>
  </xdr:twoCellAnchor>
  <xdr:twoCellAnchor>
    <xdr:from>
      <xdr:col>6</xdr:col>
      <xdr:colOff>390525</xdr:colOff>
      <xdr:row>5</xdr:row>
      <xdr:rowOff>57150</xdr:rowOff>
    </xdr:from>
    <xdr:to>
      <xdr:col>9</xdr:col>
      <xdr:colOff>247650</xdr:colOff>
      <xdr:row>17</xdr:row>
      <xdr:rowOff>28575</xdr:rowOff>
    </xdr:to>
    <xdr:sp macro="" textlink="">
      <xdr:nvSpPr>
        <xdr:cNvPr id="2059" name="Rectangle 11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>
          <a:spLocks noChangeArrowheads="1"/>
        </xdr:cNvSpPr>
      </xdr:nvSpPr>
      <xdr:spPr bwMode="auto">
        <a:xfrm>
          <a:off x="4048125" y="866775"/>
          <a:ext cx="1685925" cy="1914525"/>
        </a:xfrm>
        <a:prstGeom prst="rect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7</xdr:col>
      <xdr:colOff>371475</xdr:colOff>
      <xdr:row>7</xdr:row>
      <xdr:rowOff>152400</xdr:rowOff>
    </xdr:from>
    <xdr:to>
      <xdr:col>8</xdr:col>
      <xdr:colOff>295275</xdr:colOff>
      <xdr:row>7</xdr:row>
      <xdr:rowOff>152400</xdr:rowOff>
    </xdr:to>
    <xdr:sp macro="" textlink="">
      <xdr:nvSpPr>
        <xdr:cNvPr id="2060" name="Line 12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>
          <a:spLocks noChangeShapeType="1"/>
        </xdr:cNvSpPr>
      </xdr:nvSpPr>
      <xdr:spPr bwMode="auto">
        <a:xfrm>
          <a:off x="4638675" y="1285875"/>
          <a:ext cx="5334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8</xdr:col>
      <xdr:colOff>438150</xdr:colOff>
      <xdr:row>8</xdr:row>
      <xdr:rowOff>47625</xdr:rowOff>
    </xdr:from>
    <xdr:to>
      <xdr:col>8</xdr:col>
      <xdr:colOff>438150</xdr:colOff>
      <xdr:row>13</xdr:row>
      <xdr:rowOff>57150</xdr:rowOff>
    </xdr:to>
    <xdr:sp macro="" textlink="">
      <xdr:nvSpPr>
        <xdr:cNvPr id="2061" name="Line 13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>
          <a:spLocks noChangeShapeType="1"/>
        </xdr:cNvSpPr>
      </xdr:nvSpPr>
      <xdr:spPr bwMode="auto">
        <a:xfrm>
          <a:off x="5314950" y="1343025"/>
          <a:ext cx="0" cy="8191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9</xdr:col>
      <xdr:colOff>438150</xdr:colOff>
      <xdr:row>5</xdr:row>
      <xdr:rowOff>57150</xdr:rowOff>
    </xdr:from>
    <xdr:to>
      <xdr:col>9</xdr:col>
      <xdr:colOff>438150</xdr:colOff>
      <xdr:row>18</xdr:row>
      <xdr:rowOff>85725</xdr:rowOff>
    </xdr:to>
    <xdr:sp macro="" textlink="">
      <xdr:nvSpPr>
        <xdr:cNvPr id="2062" name="Line 14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>
          <a:spLocks noChangeShapeType="1"/>
        </xdr:cNvSpPr>
      </xdr:nvSpPr>
      <xdr:spPr bwMode="auto">
        <a:xfrm>
          <a:off x="5924550" y="866775"/>
          <a:ext cx="0" cy="21336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6</xdr:col>
      <xdr:colOff>381000</xdr:colOff>
      <xdr:row>18</xdr:row>
      <xdr:rowOff>142875</xdr:rowOff>
    </xdr:from>
    <xdr:to>
      <xdr:col>9</xdr:col>
      <xdr:colOff>257175</xdr:colOff>
      <xdr:row>18</xdr:row>
      <xdr:rowOff>142875</xdr:rowOff>
    </xdr:to>
    <xdr:sp macro="" textlink="">
      <xdr:nvSpPr>
        <xdr:cNvPr id="2063" name="Line 15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ShapeType="1"/>
        </xdr:cNvSpPr>
      </xdr:nvSpPr>
      <xdr:spPr bwMode="auto">
        <a:xfrm>
          <a:off x="4038600" y="3057525"/>
          <a:ext cx="1704975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8</xdr:col>
      <xdr:colOff>438150</xdr:colOff>
      <xdr:row>13</xdr:row>
      <xdr:rowOff>57150</xdr:rowOff>
    </xdr:from>
    <xdr:to>
      <xdr:col>8</xdr:col>
      <xdr:colOff>438150</xdr:colOff>
      <xdr:row>17</xdr:row>
      <xdr:rowOff>19050</xdr:rowOff>
    </xdr:to>
    <xdr:sp macro="" textlink="">
      <xdr:nvSpPr>
        <xdr:cNvPr id="2064" name="Line 16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ShapeType="1"/>
        </xdr:cNvSpPr>
      </xdr:nvSpPr>
      <xdr:spPr bwMode="auto">
        <a:xfrm>
          <a:off x="5314950" y="2162175"/>
          <a:ext cx="0" cy="6096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6</xdr:col>
      <xdr:colOff>381000</xdr:colOff>
      <xdr:row>7</xdr:row>
      <xdr:rowOff>152400</xdr:rowOff>
    </xdr:from>
    <xdr:to>
      <xdr:col>7</xdr:col>
      <xdr:colOff>381000</xdr:colOff>
      <xdr:row>7</xdr:row>
      <xdr:rowOff>152400</xdr:rowOff>
    </xdr:to>
    <xdr:sp macro="" textlink="">
      <xdr:nvSpPr>
        <xdr:cNvPr id="2065" name="Line 17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ShapeType="1"/>
        </xdr:cNvSpPr>
      </xdr:nvSpPr>
      <xdr:spPr bwMode="auto">
        <a:xfrm flipH="1">
          <a:off x="4038600" y="1285875"/>
          <a:ext cx="6096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</xdr:spPr>
    </xdr:sp>
    <xdr:clientData/>
  </xdr:twoCellAnchor>
  <xdr:twoCellAnchor>
    <xdr:from>
      <xdr:col>6</xdr:col>
      <xdr:colOff>28575</xdr:colOff>
      <xdr:row>4</xdr:row>
      <xdr:rowOff>57150</xdr:rowOff>
    </xdr:from>
    <xdr:to>
      <xdr:col>10</xdr:col>
      <xdr:colOff>152400</xdr:colOff>
      <xdr:row>20</xdr:row>
      <xdr:rowOff>133350</xdr:rowOff>
    </xdr:to>
    <xdr:grpSp>
      <xdr:nvGrpSpPr>
        <xdr:cNvPr id="2066" name="Group 18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GrpSpPr>
          <a:grpSpLocks/>
        </xdr:cNvGrpSpPr>
      </xdr:nvGrpSpPr>
      <xdr:grpSpPr bwMode="auto">
        <a:xfrm>
          <a:off x="3790950" y="971550"/>
          <a:ext cx="2562225" cy="3124200"/>
          <a:chOff x="6115" y="1114"/>
          <a:chExt cx="4257" cy="4216"/>
        </a:xfrm>
      </xdr:grpSpPr>
      <xdr:sp macro="" textlink="">
        <xdr:nvSpPr>
          <xdr:cNvPr id="2067" name="Line 19">
            <a:extLst>
              <a:ext uri="{FF2B5EF4-FFF2-40B4-BE49-F238E27FC236}">
                <a16:creationId xmlns:a16="http://schemas.microsoft.com/office/drawing/2014/main" id="{00000000-0008-0000-0100-000013080000}"/>
              </a:ext>
            </a:extLst>
          </xdr:cNvPr>
          <xdr:cNvSpPr>
            <a:spLocks noChangeShapeType="1"/>
          </xdr:cNvSpPr>
        </xdr:nvSpPr>
        <xdr:spPr bwMode="auto">
          <a:xfrm>
            <a:off x="6115" y="2760"/>
            <a:ext cx="4257" cy="0"/>
          </a:xfrm>
          <a:prstGeom prst="line">
            <a:avLst/>
          </a:prstGeom>
          <a:noFill/>
          <a:ln w="9360">
            <a:solidFill>
              <a:srgbClr val="FF0000"/>
            </a:solidFill>
            <a:prstDash val="lgDashDot"/>
            <a:miter lim="800000"/>
            <a:headEnd/>
            <a:tailEnd/>
          </a:ln>
          <a:effectLst/>
        </xdr:spPr>
      </xdr:sp>
      <xdr:sp macro="" textlink="">
        <xdr:nvSpPr>
          <xdr:cNvPr id="2068" name="Line 20">
            <a:extLst>
              <a:ext uri="{FF2B5EF4-FFF2-40B4-BE49-F238E27FC236}">
                <a16:creationId xmlns:a16="http://schemas.microsoft.com/office/drawing/2014/main" id="{00000000-0008-0000-0100-000014080000}"/>
              </a:ext>
            </a:extLst>
          </xdr:cNvPr>
          <xdr:cNvSpPr>
            <a:spLocks noChangeShapeType="1"/>
          </xdr:cNvSpPr>
        </xdr:nvSpPr>
        <xdr:spPr bwMode="auto">
          <a:xfrm>
            <a:off x="8146" y="1114"/>
            <a:ext cx="0" cy="4216"/>
          </a:xfrm>
          <a:prstGeom prst="line">
            <a:avLst/>
          </a:prstGeom>
          <a:noFill/>
          <a:ln w="9360">
            <a:solidFill>
              <a:srgbClr val="FF0000"/>
            </a:solidFill>
            <a:prstDash val="lgDashDot"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6</xdr:col>
      <xdr:colOff>409575</xdr:colOff>
      <xdr:row>32</xdr:row>
      <xdr:rowOff>76200</xdr:rowOff>
    </xdr:from>
    <xdr:to>
      <xdr:col>9</xdr:col>
      <xdr:colOff>238125</xdr:colOff>
      <xdr:row>38</xdr:row>
      <xdr:rowOff>28575</xdr:rowOff>
    </xdr:to>
    <xdr:grpSp>
      <xdr:nvGrpSpPr>
        <xdr:cNvPr id="2070" name="Group 22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GrpSpPr>
          <a:grpSpLocks/>
        </xdr:cNvGrpSpPr>
      </xdr:nvGrpSpPr>
      <xdr:grpSpPr bwMode="auto">
        <a:xfrm>
          <a:off x="4171950" y="6324600"/>
          <a:ext cx="1657350" cy="1095375"/>
          <a:chOff x="6746" y="8329"/>
          <a:chExt cx="2750" cy="1474"/>
        </a:xfrm>
      </xdr:grpSpPr>
      <xdr:grpSp>
        <xdr:nvGrpSpPr>
          <xdr:cNvPr id="2071" name="Group 23">
            <a:extLst>
              <a:ext uri="{FF2B5EF4-FFF2-40B4-BE49-F238E27FC236}">
                <a16:creationId xmlns:a16="http://schemas.microsoft.com/office/drawing/2014/main" id="{00000000-0008-0000-0100-000017080000}"/>
              </a:ext>
            </a:extLst>
          </xdr:cNvPr>
          <xdr:cNvGrpSpPr>
            <a:grpSpLocks/>
          </xdr:cNvGrpSpPr>
        </xdr:nvGrpSpPr>
        <xdr:grpSpPr bwMode="auto">
          <a:xfrm>
            <a:off x="6764" y="8676"/>
            <a:ext cx="2732" cy="1127"/>
            <a:chOff x="6764" y="8676"/>
            <a:chExt cx="2732" cy="1127"/>
          </a:xfrm>
        </xdr:grpSpPr>
        <xdr:sp macro="" textlink="">
          <xdr:nvSpPr>
            <xdr:cNvPr id="2072" name="Line 24">
              <a:extLs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64" y="9030"/>
              <a:ext cx="2732" cy="0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073" name="Line 25">
              <a:extLs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484" y="9030"/>
              <a:ext cx="0" cy="773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074" name="Line 26">
              <a:extLs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764" y="8676"/>
              <a:ext cx="0" cy="339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075" name="Line 27">
              <a:extLs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64" y="8676"/>
              <a:ext cx="2719" cy="1127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</xdr:grpSp>
      <xdr:sp macro="" textlink="">
        <xdr:nvSpPr>
          <xdr:cNvPr id="2076" name="Line 28">
            <a:extLst>
              <a:ext uri="{FF2B5EF4-FFF2-40B4-BE49-F238E27FC236}">
                <a16:creationId xmlns:a16="http://schemas.microsoft.com/office/drawing/2014/main" id="{00000000-0008-0000-0100-00001C080000}"/>
              </a:ext>
            </a:extLst>
          </xdr:cNvPr>
          <xdr:cNvSpPr>
            <a:spLocks noChangeShapeType="1"/>
          </xdr:cNvSpPr>
        </xdr:nvSpPr>
        <xdr:spPr bwMode="auto">
          <a:xfrm>
            <a:off x="7612" y="8896"/>
            <a:ext cx="1873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 type="triangle" w="med" len="med"/>
            <a:tailEnd type="triangle" w="med" len="med"/>
          </a:ln>
          <a:effectLst/>
        </xdr:spPr>
      </xdr:sp>
      <xdr:sp macro="" textlink="">
        <xdr:nvSpPr>
          <xdr:cNvPr id="2077" name="Line 29">
            <a:extLst>
              <a:ext uri="{FF2B5EF4-FFF2-40B4-BE49-F238E27FC236}">
                <a16:creationId xmlns:a16="http://schemas.microsoft.com/office/drawing/2014/main" id="{00000000-0008-0000-0100-00001D0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782" y="9167"/>
            <a:ext cx="829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 type="triangle" w="med" len="med"/>
            <a:tailEnd type="triangle" w="med" len="med"/>
          </a:ln>
          <a:effectLst/>
        </xdr:spPr>
      </xdr:sp>
      <xdr:sp macro="" textlink="">
        <xdr:nvSpPr>
          <xdr:cNvPr id="2078" name="Line 30">
            <a:extLst>
              <a:ext uri="{FF2B5EF4-FFF2-40B4-BE49-F238E27FC236}">
                <a16:creationId xmlns:a16="http://schemas.microsoft.com/office/drawing/2014/main" id="{00000000-0008-0000-0100-00001E080000}"/>
              </a:ext>
            </a:extLst>
          </xdr:cNvPr>
          <xdr:cNvSpPr>
            <a:spLocks noChangeShapeType="1"/>
          </xdr:cNvSpPr>
        </xdr:nvSpPr>
        <xdr:spPr bwMode="auto">
          <a:xfrm>
            <a:off x="6746" y="8583"/>
            <a:ext cx="272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 type="triangle" w="med" len="med"/>
            <a:tailEnd type="triangle" w="med" len="med"/>
          </a:ln>
          <a:effectLst/>
        </xdr:spPr>
      </xdr:sp>
      <xdr:sp macro="" textlink="" fLocksText="0">
        <xdr:nvSpPr>
          <xdr:cNvPr id="2079" name="Text Box 31">
            <a:extLst>
              <a:ext uri="{FF2B5EF4-FFF2-40B4-BE49-F238E27FC236}">
                <a16:creationId xmlns:a16="http://schemas.microsoft.com/office/drawing/2014/main" id="{00000000-0008-0000-0100-00001F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2" y="8329"/>
            <a:ext cx="196" cy="251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wrap="none" lIns="20160" tIns="20160" rIns="20160" bIns="20160" anchor="t" upright="1">
            <a:spAutoFit/>
          </a:bodyPr>
          <a:lstStyle/>
          <a:p>
            <a:pPr algn="l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Georgia" pitchFamily="18" charset="0"/>
                <a:cs typeface="Arial"/>
              </a:rPr>
              <a:t>L</a:t>
            </a:r>
          </a:p>
        </xdr:txBody>
      </xdr:sp>
      <xdr:sp macro="" textlink="" fLocksText="0">
        <xdr:nvSpPr>
          <xdr:cNvPr id="2080" name="Text Box 32">
            <a:extLst>
              <a:ext uri="{FF2B5EF4-FFF2-40B4-BE49-F238E27FC236}">
                <a16:creationId xmlns:a16="http://schemas.microsoft.com/office/drawing/2014/main" id="{00000000-0008-0000-0100-000020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79" y="8663"/>
            <a:ext cx="209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wrap="none" lIns="20160" tIns="20160" rIns="20160" bIns="20160" anchor="t" upright="1">
            <a:spAutoFit/>
          </a:bodyPr>
          <a:lstStyle/>
          <a:p>
            <a:pPr algn="l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Y</a:t>
            </a:r>
          </a:p>
        </xdr:txBody>
      </xdr:sp>
      <xdr:sp macro="" textlink="" fLocksText="0">
        <xdr:nvSpPr>
          <xdr:cNvPr id="2081" name="Text Box 33">
            <a:extLst>
              <a:ext uri="{FF2B5EF4-FFF2-40B4-BE49-F238E27FC236}">
                <a16:creationId xmlns:a16="http://schemas.microsoft.com/office/drawing/2014/main" id="{00000000-0008-0000-0100-000021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10" y="9150"/>
            <a:ext cx="209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wrap="none" lIns="20160" tIns="20160" rIns="20160" bIns="20160" anchor="t" upright="1">
            <a:spAutoFit/>
          </a:bodyPr>
          <a:lstStyle/>
          <a:p>
            <a:pPr algn="l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X</a:t>
            </a:r>
          </a:p>
        </xdr:txBody>
      </xdr:sp>
    </xdr:grpSp>
    <xdr:clientData/>
  </xdr:twoCellAnchor>
  <xdr:twoCellAnchor>
    <xdr:from>
      <xdr:col>8</xdr:col>
      <xdr:colOff>38100</xdr:colOff>
      <xdr:row>22</xdr:row>
      <xdr:rowOff>9525</xdr:rowOff>
    </xdr:from>
    <xdr:to>
      <xdr:col>8</xdr:col>
      <xdr:colOff>38100</xdr:colOff>
      <xdr:row>38</xdr:row>
      <xdr:rowOff>38100</xdr:rowOff>
    </xdr:to>
    <xdr:sp macro="" textlink="">
      <xdr:nvSpPr>
        <xdr:cNvPr id="2082" name="Line 34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>
          <a:spLocks noChangeShapeType="1"/>
        </xdr:cNvSpPr>
      </xdr:nvSpPr>
      <xdr:spPr bwMode="auto">
        <a:xfrm flipV="1">
          <a:off x="4914900" y="3571875"/>
          <a:ext cx="0" cy="2619375"/>
        </a:xfrm>
        <a:prstGeom prst="line">
          <a:avLst/>
        </a:prstGeom>
        <a:noFill/>
        <a:ln w="9360">
          <a:solidFill>
            <a:srgbClr val="FF0000"/>
          </a:solidFill>
          <a:prstDash val="lgDashDot"/>
          <a:miter lim="800000"/>
          <a:headEnd/>
          <a:tailEnd/>
        </a:ln>
        <a:effectLst/>
      </xdr:spPr>
    </xdr:sp>
    <xdr:clientData/>
  </xdr:twoCellAnchor>
  <xdr:oneCellAnchor>
    <xdr:from>
      <xdr:col>8</xdr:col>
      <xdr:colOff>104775</xdr:colOff>
      <xdr:row>19</xdr:row>
      <xdr:rowOff>9525</xdr:rowOff>
    </xdr:from>
    <xdr:ext cx="461470" cy="186395"/>
    <xdr:sp macro="" textlink="" fLocksText="0">
      <xdr:nvSpPr>
        <xdr:cNvPr id="2083" name="Text Box 35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4981575" y="3629025"/>
          <a:ext cx="461470" cy="18639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20160" tIns="20160" rIns="20160" bIns="20160" anchor="t" upright="1">
          <a:spAutoFit/>
        </a:bodyPr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Georgia" pitchFamily="18" charset="0"/>
              <a:cs typeface="Arial"/>
            </a:rPr>
            <a:t>Z-Axis</a:t>
          </a:r>
        </a:p>
      </xdr:txBody>
    </xdr:sp>
    <xdr:clientData/>
  </xdr:oneCellAnchor>
  <xdr:oneCellAnchor>
    <xdr:from>
      <xdr:col>5</xdr:col>
      <xdr:colOff>495300</xdr:colOff>
      <xdr:row>9</xdr:row>
      <xdr:rowOff>123825</xdr:rowOff>
    </xdr:from>
    <xdr:ext cx="466921" cy="186395"/>
    <xdr:sp macro="" textlink="" fLocksText="0">
      <xdr:nvSpPr>
        <xdr:cNvPr id="2084" name="Text Box 36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3543300" y="1838325"/>
          <a:ext cx="466921" cy="18639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20160" tIns="20160" rIns="20160" bIns="20160" anchor="t" upright="1">
          <a:spAutoFit/>
        </a:bodyPr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Georgia" pitchFamily="18" charset="0"/>
              <a:cs typeface="Arial"/>
            </a:rPr>
            <a:t>Y-Axis</a:t>
          </a:r>
        </a:p>
      </xdr:txBody>
    </xdr:sp>
    <xdr:clientData/>
  </xdr:oneCellAnchor>
  <xdr:twoCellAnchor>
    <xdr:from>
      <xdr:col>6</xdr:col>
      <xdr:colOff>323850</xdr:colOff>
      <xdr:row>43</xdr:row>
      <xdr:rowOff>28575</xdr:rowOff>
    </xdr:from>
    <xdr:to>
      <xdr:col>9</xdr:col>
      <xdr:colOff>314325</xdr:colOff>
      <xdr:row>56</xdr:row>
      <xdr:rowOff>161925</xdr:rowOff>
    </xdr:to>
    <xdr:grpSp>
      <xdr:nvGrpSpPr>
        <xdr:cNvPr id="2085" name="Group 37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GrpSpPr>
          <a:grpSpLocks/>
        </xdr:cNvGrpSpPr>
      </xdr:nvGrpSpPr>
      <xdr:grpSpPr bwMode="auto">
        <a:xfrm>
          <a:off x="4086225" y="8372475"/>
          <a:ext cx="1819275" cy="2609850"/>
          <a:chOff x="6604" y="11069"/>
          <a:chExt cx="3025" cy="3556"/>
        </a:xfrm>
      </xdr:grpSpPr>
      <xdr:grpSp>
        <xdr:nvGrpSpPr>
          <xdr:cNvPr id="2086" name="Group 38">
            <a:extLst>
              <a:ext uri="{FF2B5EF4-FFF2-40B4-BE49-F238E27FC236}">
                <a16:creationId xmlns:a16="http://schemas.microsoft.com/office/drawing/2014/main" id="{00000000-0008-0000-0100-000026080000}"/>
              </a:ext>
            </a:extLst>
          </xdr:cNvPr>
          <xdr:cNvGrpSpPr>
            <a:grpSpLocks/>
          </xdr:cNvGrpSpPr>
        </xdr:nvGrpSpPr>
        <xdr:grpSpPr bwMode="auto">
          <a:xfrm>
            <a:off x="6747" y="11205"/>
            <a:ext cx="2716" cy="3127"/>
            <a:chOff x="6747" y="11205"/>
            <a:chExt cx="2716" cy="3127"/>
          </a:xfrm>
        </xdr:grpSpPr>
        <xdr:grpSp>
          <xdr:nvGrpSpPr>
            <xdr:cNvPr id="2087" name="Group 39">
              <a:extLs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951" y="11446"/>
              <a:ext cx="2348" cy="2589"/>
              <a:chOff x="6951" y="11446"/>
              <a:chExt cx="2348" cy="2589"/>
            </a:xfrm>
          </xdr:grpSpPr>
          <xdr:sp macro="" textlink="">
            <xdr:nvSpPr>
              <xdr:cNvPr id="2088" name="Rectangle 40">
                <a:extLst>
                  <a:ext uri="{FF2B5EF4-FFF2-40B4-BE49-F238E27FC236}">
                    <a16:creationId xmlns:a16="http://schemas.microsoft.com/office/drawing/2014/main" id="{00000000-0008-0000-0100-0000280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66" y="12116"/>
                <a:ext cx="735" cy="1057"/>
              </a:xfrm>
              <a:prstGeom prst="rect">
                <a:avLst/>
              </a:prstGeom>
              <a:noFill/>
              <a:ln w="19080">
                <a:solidFill>
                  <a:srgbClr val="000000"/>
                </a:solidFill>
                <a:prstDash val="dash"/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089" name="Rectangle 41">
                <a:extLst>
                  <a:ext uri="{FF2B5EF4-FFF2-40B4-BE49-F238E27FC236}">
                    <a16:creationId xmlns:a16="http://schemas.microsoft.com/office/drawing/2014/main" id="{00000000-0008-0000-0100-0000290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951" y="11453"/>
                <a:ext cx="2331" cy="2582"/>
              </a:xfrm>
              <a:prstGeom prst="rect">
                <a:avLst/>
              </a:prstGeom>
              <a:noFill/>
              <a:ln w="19080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090" name="Line 42">
                <a:extLst>
                  <a:ext uri="{FF2B5EF4-FFF2-40B4-BE49-F238E27FC236}">
                    <a16:creationId xmlns:a16="http://schemas.microsoft.com/office/drawing/2014/main" id="{00000000-0008-0000-0100-00002A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8502" y="11446"/>
                <a:ext cx="0" cy="641"/>
              </a:xfrm>
              <a:prstGeom prst="line">
                <a:avLst/>
              </a:prstGeom>
              <a:noFill/>
              <a:ln w="19080" cap="rnd">
                <a:solidFill>
                  <a:srgbClr val="000000"/>
                </a:solidFill>
                <a:prstDash val="sysDot"/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091" name="Line 43">
                <a:extLst>
                  <a:ext uri="{FF2B5EF4-FFF2-40B4-BE49-F238E27FC236}">
                    <a16:creationId xmlns:a16="http://schemas.microsoft.com/office/drawing/2014/main" id="{00000000-0008-0000-0100-00002B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02" y="13139"/>
                <a:ext cx="0" cy="895"/>
              </a:xfrm>
              <a:prstGeom prst="line">
                <a:avLst/>
              </a:prstGeom>
              <a:noFill/>
              <a:ln w="19080" cap="rnd">
                <a:solidFill>
                  <a:srgbClr val="000000"/>
                </a:solidFill>
                <a:prstDash val="sysDot"/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092" name="Line 44">
                <a:extLst>
                  <a:ext uri="{FF2B5EF4-FFF2-40B4-BE49-F238E27FC236}">
                    <a16:creationId xmlns:a16="http://schemas.microsoft.com/office/drawing/2014/main" id="{00000000-0008-0000-0100-00002C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520" y="13188"/>
                <a:ext cx="779" cy="0"/>
              </a:xfrm>
              <a:prstGeom prst="line">
                <a:avLst/>
              </a:prstGeom>
              <a:noFill/>
              <a:ln w="19080" cap="rnd">
                <a:solidFill>
                  <a:srgbClr val="000000"/>
                </a:solidFill>
                <a:prstDash val="sysDot"/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093" name="Line 45">
                <a:extLst>
                  <a:ext uri="{FF2B5EF4-FFF2-40B4-BE49-F238E27FC236}">
                    <a16:creationId xmlns:a16="http://schemas.microsoft.com/office/drawing/2014/main" id="{00000000-0008-0000-0100-00002D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6951" y="13188"/>
                <a:ext cx="814" cy="0"/>
              </a:xfrm>
              <a:prstGeom prst="line">
                <a:avLst/>
              </a:prstGeom>
              <a:noFill/>
              <a:ln w="19080" cap="rnd">
                <a:solidFill>
                  <a:srgbClr val="000000"/>
                </a:solidFill>
                <a:prstDash val="sysDot"/>
                <a:miter lim="800000"/>
                <a:headEnd/>
                <a:tailEnd/>
              </a:ln>
              <a:effectLst/>
            </xdr:spPr>
          </xdr:sp>
        </xdr:grpSp>
        <xdr:sp macro="" textlink="" fLocksText="0">
          <xdr:nvSpPr>
            <xdr:cNvPr id="2094" name="Text Box 46">
              <a:extLs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47" y="11235"/>
              <a:ext cx="192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h</a:t>
              </a:r>
            </a:p>
          </xdr:txBody>
        </xdr:sp>
        <xdr:sp macro="" textlink="" fLocksText="0">
          <xdr:nvSpPr>
            <xdr:cNvPr id="2095" name="Text Box 47">
              <a:extLs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43" y="11205"/>
              <a:ext cx="190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d</a:t>
              </a:r>
            </a:p>
          </xdr:txBody>
        </xdr:sp>
        <xdr:sp macro="" textlink="" fLocksText="0">
          <xdr:nvSpPr>
            <xdr:cNvPr id="2096" name="Text Box 48">
              <a:extLs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6" y="11235"/>
              <a:ext cx="165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c</a:t>
              </a:r>
            </a:p>
          </xdr:txBody>
        </xdr:sp>
        <xdr:sp macro="" textlink="" fLocksText="0">
          <xdr:nvSpPr>
            <xdr:cNvPr id="2097" name="Text Box 49">
              <a:extLs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47" y="14078"/>
              <a:ext cx="137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f</a:t>
              </a:r>
            </a:p>
          </xdr:txBody>
        </xdr:sp>
        <xdr:sp macro="" textlink="" fLocksText="0">
          <xdr:nvSpPr>
            <xdr:cNvPr id="2098" name="Text Box 50">
              <a:extLs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59" y="14032"/>
              <a:ext cx="175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a</a:t>
              </a:r>
            </a:p>
          </xdr:txBody>
        </xdr:sp>
        <xdr:sp macro="" textlink="" fLocksText="0">
          <xdr:nvSpPr>
            <xdr:cNvPr id="2099" name="Text Box 51">
              <a:extLs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6" y="14047"/>
              <a:ext cx="187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b</a:t>
              </a:r>
            </a:p>
          </xdr:txBody>
        </xdr:sp>
        <xdr:sp macro="" textlink="" fLocksText="0">
          <xdr:nvSpPr>
            <xdr:cNvPr id="2100" name="Text Box 52">
              <a:extLs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47" y="13049"/>
              <a:ext cx="171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e</a:t>
              </a:r>
            </a:p>
          </xdr:txBody>
        </xdr:sp>
        <xdr:sp macro="" textlink="" fLocksText="0">
          <xdr:nvSpPr>
            <xdr:cNvPr id="2101" name="Text Box 53">
              <a:extLs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6" y="13049"/>
              <a:ext cx="176" cy="25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20160" tIns="20160" rIns="20160" bIns="20160" anchor="t" upright="1">
              <a:spAutoFit/>
            </a:bodyPr>
            <a:lstStyle/>
            <a:p>
              <a:pPr algn="l" rtl="0">
                <a:defRPr sz="1000"/>
              </a:pPr>
              <a:r>
                <a:rPr lang="en-US" sz="1000" b="0" i="0" strike="noStrike">
                  <a:solidFill>
                    <a:srgbClr val="000000"/>
                  </a:solidFill>
                  <a:latin typeface="Georgia" pitchFamily="18" charset="0"/>
                  <a:cs typeface="Arial"/>
                </a:rPr>
                <a:t>g</a:t>
              </a:r>
            </a:p>
          </xdr:txBody>
        </xdr:sp>
      </xdr:grpSp>
      <xdr:sp macro="" textlink="">
        <xdr:nvSpPr>
          <xdr:cNvPr id="2102" name="Line 54">
            <a:extLst>
              <a:ext uri="{FF2B5EF4-FFF2-40B4-BE49-F238E27FC236}">
                <a16:creationId xmlns:a16="http://schemas.microsoft.com/office/drawing/2014/main" id="{00000000-0008-0000-0100-000036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148" y="11069"/>
            <a:ext cx="0" cy="3556"/>
          </a:xfrm>
          <a:prstGeom prst="line">
            <a:avLst/>
          </a:prstGeom>
          <a:noFill/>
          <a:ln w="9360">
            <a:solidFill>
              <a:srgbClr val="FF0000"/>
            </a:solidFill>
            <a:prstDash val="lgDashDot"/>
            <a:miter lim="800000"/>
            <a:headEnd/>
            <a:tailEnd/>
          </a:ln>
          <a:effectLst/>
        </xdr:spPr>
      </xdr:sp>
      <xdr:sp macro="" textlink="">
        <xdr:nvSpPr>
          <xdr:cNvPr id="2103" name="Line 55">
            <a:extLst>
              <a:ext uri="{FF2B5EF4-FFF2-40B4-BE49-F238E27FC236}">
                <a16:creationId xmlns:a16="http://schemas.microsoft.com/office/drawing/2014/main" id="{00000000-0008-0000-0100-0000370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604" y="12656"/>
            <a:ext cx="3025" cy="0"/>
          </a:xfrm>
          <a:prstGeom prst="line">
            <a:avLst/>
          </a:prstGeom>
          <a:noFill/>
          <a:ln w="9360">
            <a:solidFill>
              <a:srgbClr val="FF0000"/>
            </a:solidFill>
            <a:prstDash val="lgDashDot"/>
            <a:miter lim="800000"/>
            <a:headEnd/>
            <a:tailEnd/>
          </a:ln>
          <a:effectLst/>
        </xdr:spPr>
      </xdr:sp>
    </xdr:grpSp>
    <xdr:clientData/>
  </xdr:twoCellAnchor>
  <xdr:oneCellAnchor>
    <xdr:from>
      <xdr:col>6</xdr:col>
      <xdr:colOff>352425</xdr:colOff>
      <xdr:row>38</xdr:row>
      <xdr:rowOff>38100</xdr:rowOff>
    </xdr:from>
    <xdr:ext cx="1783691" cy="186395"/>
    <xdr:sp macro="" textlink="" fLocksText="0">
      <xdr:nvSpPr>
        <xdr:cNvPr id="2104" name="Text Box 56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 txBox="1">
          <a:spLocks noChangeArrowheads="1"/>
        </xdr:cNvSpPr>
      </xdr:nvSpPr>
      <xdr:spPr bwMode="auto">
        <a:xfrm>
          <a:off x="4010025" y="7277100"/>
          <a:ext cx="1783691" cy="18639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20160" tIns="20160" rIns="20160" bIns="2016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Georgia" pitchFamily="18" charset="0"/>
              <a:cs typeface="Arial"/>
            </a:rPr>
            <a:t>Pressure Distribution Diagram</a:t>
          </a:r>
        </a:p>
      </xdr:txBody>
    </xdr:sp>
    <xdr:clientData/>
  </xdr:oneCellAnchor>
  <xdr:twoCellAnchor>
    <xdr:from>
      <xdr:col>6</xdr:col>
      <xdr:colOff>419100</xdr:colOff>
      <xdr:row>23</xdr:row>
      <xdr:rowOff>161925</xdr:rowOff>
    </xdr:from>
    <xdr:to>
      <xdr:col>9</xdr:col>
      <xdr:colOff>257175</xdr:colOff>
      <xdr:row>29</xdr:row>
      <xdr:rowOff>142875</xdr:rowOff>
    </xdr:to>
    <xdr:grpSp>
      <xdr:nvGrpSpPr>
        <xdr:cNvPr id="2111" name="Group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GrpSpPr>
          <a:grpSpLocks/>
        </xdr:cNvGrpSpPr>
      </xdr:nvGrpSpPr>
      <xdr:grpSpPr bwMode="auto">
        <a:xfrm>
          <a:off x="4181475" y="4695825"/>
          <a:ext cx="1666875" cy="1123950"/>
          <a:chOff x="6762" y="6138"/>
          <a:chExt cx="2757" cy="1534"/>
        </a:xfrm>
      </xdr:grpSpPr>
      <xdr:sp macro="" textlink="">
        <xdr:nvSpPr>
          <xdr:cNvPr id="2112" name="Line 64">
            <a:extLst>
              <a:ext uri="{FF2B5EF4-FFF2-40B4-BE49-F238E27FC236}">
                <a16:creationId xmlns:a16="http://schemas.microsoft.com/office/drawing/2014/main" id="{00000000-0008-0000-0100-000040080000}"/>
              </a:ext>
            </a:extLst>
          </xdr:cNvPr>
          <xdr:cNvSpPr>
            <a:spLocks noChangeShapeType="1"/>
          </xdr:cNvSpPr>
        </xdr:nvSpPr>
        <xdr:spPr bwMode="auto">
          <a:xfrm>
            <a:off x="8538" y="6275"/>
            <a:ext cx="0" cy="1011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3" name="Line 65">
            <a:extLst>
              <a:ext uri="{FF2B5EF4-FFF2-40B4-BE49-F238E27FC236}">
                <a16:creationId xmlns:a16="http://schemas.microsoft.com/office/drawing/2014/main" id="{00000000-0008-0000-0100-000041080000}"/>
              </a:ext>
            </a:extLst>
          </xdr:cNvPr>
          <xdr:cNvSpPr>
            <a:spLocks noChangeShapeType="1"/>
          </xdr:cNvSpPr>
        </xdr:nvSpPr>
        <xdr:spPr bwMode="auto">
          <a:xfrm>
            <a:off x="8538" y="7287"/>
            <a:ext cx="980" cy="0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4" name="Line 66">
            <a:extLst>
              <a:ext uri="{FF2B5EF4-FFF2-40B4-BE49-F238E27FC236}">
                <a16:creationId xmlns:a16="http://schemas.microsoft.com/office/drawing/2014/main" id="{00000000-0008-0000-0100-000042080000}"/>
              </a:ext>
            </a:extLst>
          </xdr:cNvPr>
          <xdr:cNvSpPr>
            <a:spLocks noChangeShapeType="1"/>
          </xdr:cNvSpPr>
        </xdr:nvSpPr>
        <xdr:spPr bwMode="auto">
          <a:xfrm>
            <a:off x="9520" y="7287"/>
            <a:ext cx="0" cy="385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5" name="Line 67">
            <a:extLst>
              <a:ext uri="{FF2B5EF4-FFF2-40B4-BE49-F238E27FC236}">
                <a16:creationId xmlns:a16="http://schemas.microsoft.com/office/drawing/2014/main" id="{00000000-0008-0000-0100-000043080000}"/>
              </a:ext>
            </a:extLst>
          </xdr:cNvPr>
          <xdr:cNvSpPr>
            <a:spLocks noChangeShapeType="1"/>
          </xdr:cNvSpPr>
        </xdr:nvSpPr>
        <xdr:spPr bwMode="auto">
          <a:xfrm>
            <a:off x="7735" y="6275"/>
            <a:ext cx="0" cy="1011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6" name="Line 68">
            <a:extLst>
              <a:ext uri="{FF2B5EF4-FFF2-40B4-BE49-F238E27FC236}">
                <a16:creationId xmlns:a16="http://schemas.microsoft.com/office/drawing/2014/main" id="{00000000-0008-0000-0100-0000440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762" y="7287"/>
            <a:ext cx="971" cy="0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7" name="Line 69">
            <a:extLst>
              <a:ext uri="{FF2B5EF4-FFF2-40B4-BE49-F238E27FC236}">
                <a16:creationId xmlns:a16="http://schemas.microsoft.com/office/drawing/2014/main" id="{00000000-0008-0000-0100-000045080000}"/>
              </a:ext>
            </a:extLst>
          </xdr:cNvPr>
          <xdr:cNvSpPr>
            <a:spLocks noChangeShapeType="1"/>
          </xdr:cNvSpPr>
        </xdr:nvSpPr>
        <xdr:spPr bwMode="auto">
          <a:xfrm>
            <a:off x="6762" y="7287"/>
            <a:ext cx="0" cy="385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18" name="Line 70">
            <a:extLst>
              <a:ext uri="{FF2B5EF4-FFF2-40B4-BE49-F238E27FC236}">
                <a16:creationId xmlns:a16="http://schemas.microsoft.com/office/drawing/2014/main" id="{00000000-0008-0000-0100-000046080000}"/>
              </a:ext>
            </a:extLst>
          </xdr:cNvPr>
          <xdr:cNvSpPr>
            <a:spLocks noChangeShapeType="1"/>
          </xdr:cNvSpPr>
        </xdr:nvSpPr>
        <xdr:spPr bwMode="auto">
          <a:xfrm>
            <a:off x="6762" y="7672"/>
            <a:ext cx="2757" cy="0"/>
          </a:xfrm>
          <a:prstGeom prst="line">
            <a:avLst/>
          </a:prstGeom>
          <a:noFill/>
          <a:ln w="19080">
            <a:solidFill>
              <a:srgbClr val="000000"/>
            </a:solidFill>
            <a:miter lim="800000"/>
            <a:headEnd/>
            <a:tailEnd/>
          </a:ln>
          <a:effectLst/>
        </xdr:spPr>
      </xdr:sp>
      <xdr:grpSp>
        <xdr:nvGrpSpPr>
          <xdr:cNvPr id="2119" name="Group 71">
            <a:extLst>
              <a:ext uri="{FF2B5EF4-FFF2-40B4-BE49-F238E27FC236}">
                <a16:creationId xmlns:a16="http://schemas.microsoft.com/office/drawing/2014/main" id="{00000000-0008-0000-0100-000047080000}"/>
              </a:ext>
            </a:extLst>
          </xdr:cNvPr>
          <xdr:cNvGrpSpPr>
            <a:grpSpLocks/>
          </xdr:cNvGrpSpPr>
        </xdr:nvGrpSpPr>
        <xdr:grpSpPr bwMode="auto">
          <a:xfrm>
            <a:off x="7655" y="6138"/>
            <a:ext cx="1004" cy="331"/>
            <a:chOff x="7655" y="6138"/>
            <a:chExt cx="1004" cy="331"/>
          </a:xfrm>
        </xdr:grpSpPr>
        <xdr:sp macro="" textlink="">
          <xdr:nvSpPr>
            <xdr:cNvPr id="2120" name="Line 72">
              <a:extLs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55" y="6255"/>
              <a:ext cx="331" cy="0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121" name="Line 73">
              <a:extLs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7987" y="6143"/>
              <a:ext cx="98" cy="114"/>
            </a:xfrm>
            <a:prstGeom prst="line">
              <a:avLst/>
            </a:prstGeom>
            <a:noFill/>
            <a:ln w="936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122" name="Line 74">
              <a:extLs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087" y="6138"/>
              <a:ext cx="58" cy="328"/>
            </a:xfrm>
            <a:prstGeom prst="line">
              <a:avLst/>
            </a:prstGeom>
            <a:noFill/>
            <a:ln w="936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123" name="Line 75">
              <a:extLs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46" y="6255"/>
              <a:ext cx="172" cy="213"/>
            </a:xfrm>
            <a:prstGeom prst="line">
              <a:avLst/>
            </a:prstGeom>
            <a:noFill/>
            <a:ln w="936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124" name="Line 76">
              <a:extLs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327" y="6255"/>
              <a:ext cx="331" cy="0"/>
            </a:xfrm>
            <a:prstGeom prst="line">
              <a:avLst/>
            </a:prstGeom>
            <a:noFill/>
            <a:ln w="19080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</xdr:grpSp>
    </xdr:grpSp>
    <xdr:clientData/>
  </xdr:twoCellAnchor>
  <xdr:twoCellAnchor>
    <xdr:from>
      <xdr:col>8</xdr:col>
      <xdr:colOff>561975</xdr:colOff>
      <xdr:row>35</xdr:row>
      <xdr:rowOff>161925</xdr:rowOff>
    </xdr:from>
    <xdr:to>
      <xdr:col>9</xdr:col>
      <xdr:colOff>85725</xdr:colOff>
      <xdr:row>36</xdr:row>
      <xdr:rowOff>123825</xdr:rowOff>
    </xdr:to>
    <xdr:sp macro="" textlink="">
      <xdr:nvSpPr>
        <xdr:cNvPr id="2125" name="AutoShape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Arrowheads="1"/>
        </xdr:cNvSpPr>
      </xdr:nvSpPr>
      <xdr:spPr bwMode="auto">
        <a:xfrm flipH="1">
          <a:off x="5438775" y="5829300"/>
          <a:ext cx="133350" cy="123825"/>
        </a:xfrm>
        <a:custGeom>
          <a:avLst/>
          <a:gdLst>
            <a:gd name="G0" fmla="+- 9804 0 0"/>
            <a:gd name="G1" fmla="+- 9804 0 0"/>
            <a:gd name="G2" fmla="+- 0 0 0"/>
            <a:gd name="G3" fmla="+- 21600 0 9804"/>
            <a:gd name="G4" fmla="+- 21600 0 9804"/>
            <a:gd name="G5" fmla="+- 21600 0 0"/>
            <a:gd name="G6" fmla="+- 9804 0 10800"/>
            <a:gd name="G7" fmla="+- 9804 0 10800"/>
            <a:gd name="G8" fmla="*/ G7 0 G6"/>
            <a:gd name="G9" fmla="+- 21600 0 G8"/>
            <a:gd name="T0" fmla="*/ G8 w 21600"/>
            <a:gd name="T1" fmla="*/ G1 h 21600"/>
            <a:gd name="T2" fmla="*/ G9 w 21600"/>
            <a:gd name="T3" fmla="*/ G4 h 2160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T0" t="T1" r="T2" b="T3"/>
          <a:pathLst>
            <a:path w="21600" h="21600">
              <a:moveTo>
                <a:pt x="10800" y="0"/>
              </a:moveTo>
              <a:lnTo>
                <a:pt x="9804" y="0"/>
              </a:lnTo>
              <a:lnTo>
                <a:pt x="9804" y="0"/>
              </a:lnTo>
              <a:lnTo>
                <a:pt x="9804" y="9804"/>
              </a:lnTo>
              <a:lnTo>
                <a:pt x="0" y="9804"/>
              </a:lnTo>
              <a:lnTo>
                <a:pt x="0" y="9804"/>
              </a:lnTo>
              <a:lnTo>
                <a:pt x="0" y="10800"/>
              </a:lnTo>
              <a:lnTo>
                <a:pt x="0" y="11796"/>
              </a:lnTo>
              <a:lnTo>
                <a:pt x="0" y="11796"/>
              </a:lnTo>
              <a:lnTo>
                <a:pt x="9804" y="11796"/>
              </a:lnTo>
              <a:lnTo>
                <a:pt x="9804" y="21600"/>
              </a:lnTo>
              <a:lnTo>
                <a:pt x="9804" y="21600"/>
              </a:lnTo>
              <a:lnTo>
                <a:pt x="10800" y="21600"/>
              </a:lnTo>
              <a:lnTo>
                <a:pt x="11796" y="21600"/>
              </a:lnTo>
              <a:lnTo>
                <a:pt x="11796" y="21600"/>
              </a:lnTo>
              <a:lnTo>
                <a:pt x="11796" y="11796"/>
              </a:lnTo>
              <a:lnTo>
                <a:pt x="21600" y="11796"/>
              </a:lnTo>
              <a:lnTo>
                <a:pt x="21600" y="11796"/>
              </a:lnTo>
              <a:lnTo>
                <a:pt x="21600" y="10800"/>
              </a:lnTo>
              <a:lnTo>
                <a:pt x="21600" y="9804"/>
              </a:lnTo>
              <a:lnTo>
                <a:pt x="21600" y="9804"/>
              </a:lnTo>
              <a:lnTo>
                <a:pt x="11796" y="9804"/>
              </a:lnTo>
              <a:lnTo>
                <a:pt x="11796" y="0"/>
              </a:lnTo>
              <a:lnTo>
                <a:pt x="11796" y="0"/>
              </a:lnTo>
              <a:close/>
            </a:path>
          </a:pathLst>
        </a:custGeom>
        <a:solidFill>
          <a:srgbClr val="008000"/>
        </a:solidFill>
        <a:ln w="9360">
          <a:solidFill>
            <a:srgbClr val="008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6</xdr:col>
      <xdr:colOff>476250</xdr:colOff>
      <xdr:row>34</xdr:row>
      <xdr:rowOff>123825</xdr:rowOff>
    </xdr:from>
    <xdr:to>
      <xdr:col>7</xdr:col>
      <xdr:colOff>0</xdr:colOff>
      <xdr:row>34</xdr:row>
      <xdr:rowOff>123825</xdr:rowOff>
    </xdr:to>
    <xdr:sp macro="" textlink="">
      <xdr:nvSpPr>
        <xdr:cNvPr id="2126" name="Line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ShapeType="1"/>
        </xdr:cNvSpPr>
      </xdr:nvSpPr>
      <xdr:spPr bwMode="auto">
        <a:xfrm>
          <a:off x="4133850" y="5629275"/>
          <a:ext cx="133350" cy="0"/>
        </a:xfrm>
        <a:prstGeom prst="line">
          <a:avLst/>
        </a:prstGeom>
        <a:noFill/>
        <a:ln w="19080">
          <a:solidFill>
            <a:srgbClr val="FF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438150</xdr:colOff>
      <xdr:row>0</xdr:row>
      <xdr:rowOff>57150</xdr:rowOff>
    </xdr:from>
    <xdr:to>
      <xdr:col>13</xdr:col>
      <xdr:colOff>590550</xdr:colOff>
      <xdr:row>1</xdr:row>
      <xdr:rowOff>47625</xdr:rowOff>
    </xdr:to>
    <xdr:sp macro="" textlink="" fLocksText="0">
      <xdr:nvSpPr>
        <xdr:cNvPr id="64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/>
        </xdr:cNvSpPr>
      </xdr:nvSpPr>
      <xdr:spPr bwMode="auto">
        <a:xfrm>
          <a:off x="7143750" y="57150"/>
          <a:ext cx="1371600" cy="219075"/>
        </a:xfrm>
        <a:prstGeom prst="round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wrap="square" lIns="20160" tIns="20160" rIns="20160" bIns="20160" anchor="t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Instructions</a:t>
          </a:r>
        </a:p>
      </xdr:txBody>
    </xdr:sp>
    <xdr:clientData/>
  </xdr:twoCellAnchor>
  <xdr:twoCellAnchor>
    <xdr:from>
      <xdr:col>11</xdr:col>
      <xdr:colOff>438150</xdr:colOff>
      <xdr:row>1</xdr:row>
      <xdr:rowOff>104775</xdr:rowOff>
    </xdr:from>
    <xdr:to>
      <xdr:col>13</xdr:col>
      <xdr:colOff>590550</xdr:colOff>
      <xdr:row>2</xdr:row>
      <xdr:rowOff>133350</xdr:rowOff>
    </xdr:to>
    <xdr:sp macro="" textlink="" fLocksText="0">
      <xdr:nvSpPr>
        <xdr:cNvPr id="65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auto">
        <a:xfrm>
          <a:off x="7143750" y="333375"/>
          <a:ext cx="1371600" cy="219075"/>
        </a:xfrm>
        <a:prstGeom prst="round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wrap="square" lIns="20160" tIns="20160" rIns="20160" bIns="20160" anchor="t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Revision notes</a:t>
          </a:r>
        </a:p>
      </xdr:txBody>
    </xdr:sp>
    <xdr:clientData/>
  </xdr:twoCellAnchor>
  <xdr:twoCellAnchor>
    <xdr:from>
      <xdr:col>11</xdr:col>
      <xdr:colOff>495300</xdr:colOff>
      <xdr:row>0</xdr:row>
      <xdr:rowOff>104775</xdr:rowOff>
    </xdr:from>
    <xdr:to>
      <xdr:col>12</xdr:col>
      <xdr:colOff>0</xdr:colOff>
      <xdr:row>0</xdr:row>
      <xdr:rowOff>219075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7200900" y="104775"/>
          <a:ext cx="114300" cy="1143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495300</xdr:colOff>
      <xdr:row>1</xdr:row>
      <xdr:rowOff>152400</xdr:rowOff>
    </xdr:from>
    <xdr:to>
      <xdr:col>12</xdr:col>
      <xdr:colOff>0</xdr:colOff>
      <xdr:row>2</xdr:row>
      <xdr:rowOff>76200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7200900" y="381000"/>
          <a:ext cx="114300" cy="1143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3</xdr:row>
      <xdr:rowOff>85725</xdr:rowOff>
    </xdr:from>
    <xdr:to>
      <xdr:col>9</xdr:col>
      <xdr:colOff>114300</xdr:colOff>
      <xdr:row>19</xdr:row>
      <xdr:rowOff>95250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657225"/>
          <a:ext cx="2676525" cy="3057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361950</xdr:colOff>
      <xdr:row>20</xdr:row>
      <xdr:rowOff>19050</xdr:rowOff>
    </xdr:from>
    <xdr:to>
      <xdr:col>8</xdr:col>
      <xdr:colOff>390525</xdr:colOff>
      <xdr:row>36</xdr:row>
      <xdr:rowOff>180975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05225" y="3829050"/>
          <a:ext cx="1857375" cy="32099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352425</xdr:colOff>
      <xdr:row>61</xdr:row>
      <xdr:rowOff>57150</xdr:rowOff>
    </xdr:from>
    <xdr:to>
      <xdr:col>8</xdr:col>
      <xdr:colOff>314325</xdr:colOff>
      <xdr:row>74</xdr:row>
      <xdr:rowOff>9525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95700" y="11677650"/>
          <a:ext cx="1790700" cy="24288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314325</xdr:colOff>
      <xdr:row>31</xdr:row>
      <xdr:rowOff>104775</xdr:rowOff>
    </xdr:from>
    <xdr:to>
      <xdr:col>13</xdr:col>
      <xdr:colOff>180975</xdr:colOff>
      <xdr:row>31</xdr:row>
      <xdr:rowOff>104775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E952A75-CFD0-4F96-947B-1DA9EE8DAEDC}"/>
            </a:ext>
          </a:extLst>
        </xdr:cNvPr>
        <xdr:cNvCxnSpPr/>
      </xdr:nvCxnSpPr>
      <xdr:spPr bwMode="auto">
        <a:xfrm>
          <a:off x="6019800" y="6010275"/>
          <a:ext cx="245745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323850</xdr:colOff>
      <xdr:row>32</xdr:row>
      <xdr:rowOff>171450</xdr:rowOff>
    </xdr:from>
    <xdr:to>
      <xdr:col>13</xdr:col>
      <xdr:colOff>142875</xdr:colOff>
      <xdr:row>34</xdr:row>
      <xdr:rowOff>180975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D82C721-5225-4AD7-9C11-B43F0751208F}"/>
            </a:ext>
          </a:extLst>
        </xdr:cNvPr>
        <xdr:cNvCxnSpPr/>
      </xdr:nvCxnSpPr>
      <xdr:spPr bwMode="auto">
        <a:xfrm>
          <a:off x="6029325" y="6267450"/>
          <a:ext cx="2409825" cy="39052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13</xdr:col>
      <xdr:colOff>152400</xdr:colOff>
      <xdr:row>31</xdr:row>
      <xdr:rowOff>104775</xdr:rowOff>
    </xdr:from>
    <xdr:to>
      <xdr:col>13</xdr:col>
      <xdr:colOff>161925</xdr:colOff>
      <xdr:row>34</xdr:row>
      <xdr:rowOff>180975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034415A-A971-4857-9AE0-883D5C8B4B74}"/>
            </a:ext>
          </a:extLst>
        </xdr:cNvPr>
        <xdr:cNvCxnSpPr/>
      </xdr:nvCxnSpPr>
      <xdr:spPr bwMode="auto">
        <a:xfrm flipH="1">
          <a:off x="8448675" y="6010275"/>
          <a:ext cx="9525" cy="64770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323851</xdr:colOff>
      <xdr:row>31</xdr:row>
      <xdr:rowOff>114300</xdr:rowOff>
    </xdr:from>
    <xdr:to>
      <xdr:col>9</xdr:col>
      <xdr:colOff>352425</xdr:colOff>
      <xdr:row>32</xdr:row>
      <xdr:rowOff>180975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5BB79DB1-3DF0-43AC-9BDA-F764987CF08D}"/>
            </a:ext>
          </a:extLst>
        </xdr:cNvPr>
        <xdr:cNvCxnSpPr/>
      </xdr:nvCxnSpPr>
      <xdr:spPr bwMode="auto">
        <a:xfrm>
          <a:off x="6029326" y="6019800"/>
          <a:ext cx="28574" cy="25717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2"/>
  <sheetViews>
    <sheetView showGridLines="0" workbookViewId="0">
      <pane ySplit="2" topLeftCell="A3" activePane="bottomLeft" state="frozen"/>
      <selection pane="bottomLeft" activeCell="K11" sqref="K11"/>
    </sheetView>
  </sheetViews>
  <sheetFormatPr defaultRowHeight="15"/>
  <cols>
    <col min="1" max="1" width="9.7109375" style="1" customWidth="1"/>
    <col min="2" max="16384" width="9.140625" style="1"/>
  </cols>
  <sheetData>
    <row r="2" spans="1:2" ht="10.5" customHeight="1"/>
    <row r="3" spans="1:2">
      <c r="B3" s="2" t="s">
        <v>0</v>
      </c>
    </row>
    <row r="5" spans="1:2">
      <c r="A5" s="1">
        <v>1</v>
      </c>
      <c r="B5" s="1" t="s">
        <v>1</v>
      </c>
    </row>
    <row r="6" spans="1:2">
      <c r="A6" s="1">
        <v>2</v>
      </c>
      <c r="B6" s="1" t="s">
        <v>2</v>
      </c>
    </row>
    <row r="7" spans="1:2">
      <c r="B7" s="1" t="s">
        <v>3</v>
      </c>
    </row>
    <row r="8" spans="1:2">
      <c r="A8" s="1">
        <v>3</v>
      </c>
      <c r="B8" s="1" t="s">
        <v>4</v>
      </c>
    </row>
    <row r="9" spans="1:2">
      <c r="A9" s="1">
        <v>4</v>
      </c>
      <c r="B9" s="1" t="s">
        <v>5</v>
      </c>
    </row>
    <row r="10" spans="1:2">
      <c r="A10" s="1">
        <v>5</v>
      </c>
      <c r="B10" s="1" t="s">
        <v>6</v>
      </c>
    </row>
    <row r="11" spans="1:2">
      <c r="A11" s="1">
        <v>6</v>
      </c>
      <c r="B11" s="1" t="s">
        <v>7</v>
      </c>
    </row>
    <row r="12" spans="1:2">
      <c r="A12" s="3">
        <v>7</v>
      </c>
      <c r="B12" s="4" t="s">
        <v>8</v>
      </c>
    </row>
    <row r="13" spans="1:2">
      <c r="A13" s="3">
        <v>8</v>
      </c>
      <c r="B13" s="4" t="s">
        <v>9</v>
      </c>
    </row>
    <row r="14" spans="1:2">
      <c r="A14" s="3">
        <v>9</v>
      </c>
      <c r="B14" s="4" t="s">
        <v>10</v>
      </c>
    </row>
    <row r="15" spans="1:2">
      <c r="A15" s="3">
        <v>10</v>
      </c>
      <c r="B15" s="4" t="s">
        <v>11</v>
      </c>
    </row>
    <row r="16" spans="1:2">
      <c r="A16" s="3">
        <v>11</v>
      </c>
      <c r="B16" s="3" t="s">
        <v>12</v>
      </c>
    </row>
    <row r="17" spans="1:10" ht="27" customHeight="1">
      <c r="A17" s="3">
        <v>12</v>
      </c>
      <c r="B17" s="5" t="s">
        <v>13</v>
      </c>
    </row>
    <row r="18" spans="1:10">
      <c r="B18" s="3"/>
    </row>
    <row r="19" spans="1:10">
      <c r="A19" s="3"/>
      <c r="C19" s="6"/>
      <c r="D19" s="6"/>
      <c r="E19" s="6"/>
      <c r="F19" s="6"/>
      <c r="G19" s="6"/>
      <c r="H19" s="6"/>
      <c r="I19" s="6"/>
      <c r="J19" s="6"/>
    </row>
    <row r="20" spans="1:10">
      <c r="A20" s="3"/>
      <c r="B20" s="2" t="s">
        <v>14</v>
      </c>
      <c r="C20" s="6"/>
      <c r="D20" s="6"/>
      <c r="E20" s="6"/>
      <c r="F20" s="6"/>
      <c r="G20" s="6"/>
      <c r="H20" s="6"/>
      <c r="I20" s="6"/>
      <c r="J20" s="6"/>
    </row>
    <row r="21" spans="1:10">
      <c r="B21" s="7" t="s">
        <v>15</v>
      </c>
    </row>
    <row r="22" spans="1:10">
      <c r="B22" s="7" t="s">
        <v>16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customProperties>
    <customPr name="SSCSheetTrackingNo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78"/>
  <sheetViews>
    <sheetView showGridLines="0" topLeftCell="A16" workbookViewId="0">
      <selection activeCell="D18" sqref="D18"/>
    </sheetView>
  </sheetViews>
  <sheetFormatPr defaultRowHeight="15" customHeight="1"/>
  <cols>
    <col min="1" max="3" width="9.140625" style="9"/>
    <col min="4" max="4" width="10.7109375" style="9" customWidth="1"/>
    <col min="5" max="16384" width="9.140625" style="9"/>
  </cols>
  <sheetData>
    <row r="1" spans="1:13" ht="27" customHeight="1">
      <c r="A1" s="30" t="s">
        <v>92</v>
      </c>
      <c r="B1" s="28"/>
      <c r="C1" s="28"/>
      <c r="D1" s="28"/>
      <c r="E1" s="29"/>
      <c r="F1" s="29"/>
      <c r="G1" s="29"/>
      <c r="H1" s="29"/>
      <c r="I1" s="29"/>
      <c r="J1" s="29"/>
      <c r="M1" s="26"/>
    </row>
    <row r="2" spans="1:13" ht="15" customHeight="1">
      <c r="M2" s="25"/>
    </row>
    <row r="3" spans="1:13" ht="15" customHeight="1">
      <c r="D3" s="9" t="s">
        <v>90</v>
      </c>
    </row>
    <row r="4" spans="1:13" ht="15" customHeight="1">
      <c r="A4" s="8" t="s">
        <v>17</v>
      </c>
      <c r="B4" s="9" t="s">
        <v>18</v>
      </c>
      <c r="D4" s="10"/>
      <c r="E4" s="59" t="s">
        <v>91</v>
      </c>
      <c r="F4" s="59"/>
      <c r="G4" s="59"/>
      <c r="H4" s="59"/>
      <c r="I4" s="59"/>
      <c r="J4" s="59"/>
    </row>
    <row r="5" spans="1:13" ht="15" customHeight="1">
      <c r="B5" s="9" t="s">
        <v>19</v>
      </c>
      <c r="D5" s="10"/>
    </row>
    <row r="6" spans="1:13" ht="15" customHeight="1">
      <c r="B6" s="11" t="s">
        <v>20</v>
      </c>
      <c r="D6" s="10">
        <v>20</v>
      </c>
    </row>
    <row r="7" spans="1:13" ht="15" customHeight="1">
      <c r="B7" s="9" t="s">
        <v>21</v>
      </c>
      <c r="D7" s="10">
        <v>415</v>
      </c>
    </row>
    <row r="8" spans="1:13" ht="15" customHeight="1">
      <c r="B8" s="11" t="s">
        <v>22</v>
      </c>
      <c r="D8" s="10">
        <v>149</v>
      </c>
      <c r="E8" s="9" t="s">
        <v>23</v>
      </c>
      <c r="H8" s="11" t="s">
        <v>24</v>
      </c>
      <c r="I8" s="11"/>
    </row>
    <row r="9" spans="1:13" ht="15" customHeight="1">
      <c r="B9" s="11" t="s">
        <v>25</v>
      </c>
      <c r="D9" s="10">
        <v>14.7</v>
      </c>
      <c r="E9" s="11" t="s">
        <v>26</v>
      </c>
    </row>
    <row r="10" spans="1:13" ht="15" customHeight="1">
      <c r="B10" s="11" t="s">
        <v>27</v>
      </c>
      <c r="D10" s="10">
        <v>16.8</v>
      </c>
      <c r="E10" s="9" t="s">
        <v>26</v>
      </c>
    </row>
    <row r="11" spans="1:13" ht="15" customHeight="1">
      <c r="B11" s="11" t="s">
        <v>28</v>
      </c>
      <c r="D11" s="10">
        <v>750</v>
      </c>
      <c r="E11" s="9" t="s">
        <v>29</v>
      </c>
      <c r="G11" s="12"/>
    </row>
    <row r="12" spans="1:13" ht="15" customHeight="1">
      <c r="B12" s="11" t="s">
        <v>30</v>
      </c>
      <c r="D12" s="10">
        <v>650</v>
      </c>
      <c r="E12" s="9" t="s">
        <v>29</v>
      </c>
      <c r="I12" s="13" t="s">
        <v>31</v>
      </c>
      <c r="J12" s="13" t="s">
        <v>32</v>
      </c>
    </row>
    <row r="13" spans="1:13" ht="15" customHeight="1">
      <c r="B13" s="9" t="s">
        <v>33</v>
      </c>
      <c r="D13" s="10">
        <v>100</v>
      </c>
      <c r="E13" s="9" t="s">
        <v>34</v>
      </c>
    </row>
    <row r="14" spans="1:13" ht="15" customHeight="1">
      <c r="B14" s="9" t="s">
        <v>35</v>
      </c>
      <c r="D14" s="14">
        <v>1</v>
      </c>
    </row>
    <row r="16" spans="1:13" ht="15" customHeight="1">
      <c r="A16" s="8" t="s">
        <v>36</v>
      </c>
      <c r="B16" s="9" t="s">
        <v>37</v>
      </c>
      <c r="D16" s="9">
        <f>D8</f>
        <v>149</v>
      </c>
      <c r="E16" s="9" t="s">
        <v>23</v>
      </c>
      <c r="I16" s="13" t="s">
        <v>38</v>
      </c>
    </row>
    <row r="17" spans="2:10" ht="15" customHeight="1">
      <c r="B17" s="9" t="s">
        <v>39</v>
      </c>
      <c r="D17" s="9">
        <f>0.1*D16</f>
        <v>14.9</v>
      </c>
      <c r="E17" s="11" t="s">
        <v>23</v>
      </c>
    </row>
    <row r="18" spans="2:10" ht="15" customHeight="1">
      <c r="B18" s="9" t="s">
        <v>40</v>
      </c>
      <c r="D18" s="9">
        <f>SUM(D16:D17)</f>
        <v>163.9</v>
      </c>
      <c r="E18" s="9" t="s">
        <v>23</v>
      </c>
    </row>
    <row r="20" spans="2:10" ht="15" customHeight="1">
      <c r="B20" s="9" t="s">
        <v>41</v>
      </c>
      <c r="D20" s="15">
        <f>D18/D13</f>
        <v>1.639</v>
      </c>
      <c r="E20" s="9" t="s">
        <v>42</v>
      </c>
      <c r="H20" s="13" t="s">
        <v>43</v>
      </c>
    </row>
    <row r="21" spans="2:10" ht="15" customHeight="1">
      <c r="B21" s="9" t="s">
        <v>44</v>
      </c>
      <c r="D21" s="10">
        <v>1.7</v>
      </c>
      <c r="E21" s="9" t="s">
        <v>94</v>
      </c>
      <c r="I21" s="16"/>
    </row>
    <row r="22" spans="2:10" ht="15" customHeight="1">
      <c r="B22" s="11" t="s">
        <v>46</v>
      </c>
      <c r="D22" s="10">
        <v>1.7</v>
      </c>
      <c r="E22" s="9" t="s">
        <v>93</v>
      </c>
      <c r="G22" s="9" t="str">
        <f>IF((D21*D22)&lt;D20,"Select Appropiate size of Footing","")</f>
        <v/>
      </c>
    </row>
    <row r="23" spans="2:10" ht="15" customHeight="1">
      <c r="B23" s="11" t="s">
        <v>47</v>
      </c>
      <c r="D23" s="17">
        <f>(D21-D11/1000)/2</f>
        <v>0.47499999999999998</v>
      </c>
      <c r="E23" s="9" t="s">
        <v>45</v>
      </c>
    </row>
    <row r="24" spans="2:10" ht="15" customHeight="1">
      <c r="B24" s="11" t="s">
        <v>48</v>
      </c>
      <c r="D24" s="17">
        <f>(D22-D12/1000)/2</f>
        <v>0.52499999999999991</v>
      </c>
      <c r="E24" s="9" t="s">
        <v>45</v>
      </c>
      <c r="G24" s="18"/>
      <c r="I24" s="18"/>
      <c r="J24" s="18"/>
    </row>
    <row r="26" spans="2:10" ht="15" customHeight="1">
      <c r="B26" s="9" t="s">
        <v>49</v>
      </c>
    </row>
    <row r="27" spans="2:10" ht="15" customHeight="1">
      <c r="B27" s="11" t="s">
        <v>50</v>
      </c>
    </row>
    <row r="28" spans="2:10" ht="15" customHeight="1">
      <c r="B28" s="9" t="s">
        <v>51</v>
      </c>
      <c r="D28" s="15">
        <f>(D8/(D21*D22))+(D9*6/(D21^2*D22))+(D10*6/(D22^2*D21))</f>
        <v>90.02646041115409</v>
      </c>
      <c r="E28" s="9" t="s">
        <v>34</v>
      </c>
      <c r="F28" s="9" t="str">
        <f>IF(D28&gt;D13,"Warning !! &gt;SBC"," ")</f>
        <v xml:space="preserve"> </v>
      </c>
    </row>
    <row r="29" spans="2:10" ht="15" customHeight="1">
      <c r="B29" s="11" t="s">
        <v>52</v>
      </c>
    </row>
    <row r="30" spans="2:10" ht="15" customHeight="1">
      <c r="B30" s="9" t="s">
        <v>53</v>
      </c>
      <c r="D30" s="15">
        <f>(D8/(D21*D22))-(D9*6/(D21^2*D22))-(D10*6/(D22^2*D21))</f>
        <v>13.08772644005699</v>
      </c>
      <c r="E30" s="9" t="s">
        <v>34</v>
      </c>
      <c r="F30" s="9" t="str">
        <f>IF(D30&lt;0,"Warning !! &lt;Zero"," ")</f>
        <v xml:space="preserve"> </v>
      </c>
    </row>
    <row r="33" spans="1:10" ht="15" customHeight="1">
      <c r="G33" s="18"/>
      <c r="J33" s="13"/>
    </row>
    <row r="34" spans="1:10" ht="15" customHeight="1">
      <c r="A34" s="8" t="s">
        <v>54</v>
      </c>
    </row>
    <row r="35" spans="1:10" ht="15" customHeight="1">
      <c r="B35" s="9" t="s">
        <v>55</v>
      </c>
      <c r="D35" s="15">
        <f>D28*D21/(D28+IF(D30&lt;0,-D30,D30))</f>
        <v>1.484228187919463</v>
      </c>
      <c r="E35" s="9" t="s">
        <v>45</v>
      </c>
    </row>
    <row r="36" spans="1:10" ht="15" customHeight="1">
      <c r="B36" s="9" t="s">
        <v>56</v>
      </c>
      <c r="D36" s="15">
        <f>D21-D35</f>
        <v>0.21577181208053697</v>
      </c>
      <c r="E36" s="9" t="s">
        <v>45</v>
      </c>
      <c r="G36" s="18"/>
    </row>
    <row r="37" spans="1:10" ht="15" customHeight="1">
      <c r="B37" s="9" t="s">
        <v>57</v>
      </c>
      <c r="D37" s="9">
        <f>D21</f>
        <v>1.7</v>
      </c>
      <c r="E37" s="9" t="s">
        <v>45</v>
      </c>
      <c r="G37" s="18"/>
    </row>
    <row r="38" spans="1:10" ht="15" customHeight="1">
      <c r="B38" s="9" t="s">
        <v>58</v>
      </c>
      <c r="D38" s="15">
        <f>D37*2/3</f>
        <v>1.1333333333333333</v>
      </c>
      <c r="E38" s="9" t="s">
        <v>45</v>
      </c>
      <c r="I38" s="18"/>
      <c r="J38" s="18"/>
    </row>
    <row r="41" spans="1:10" ht="15" customHeight="1">
      <c r="G41" s="18"/>
      <c r="I41" s="18"/>
      <c r="J41" s="18"/>
    </row>
    <row r="42" spans="1:10" ht="15" customHeight="1">
      <c r="A42" s="8" t="s">
        <v>59</v>
      </c>
      <c r="D42" s="19"/>
    </row>
    <row r="44" spans="1:10" ht="15" customHeight="1">
      <c r="B44" s="9" t="s">
        <v>60</v>
      </c>
    </row>
    <row r="45" spans="1:10" ht="15" customHeight="1">
      <c r="B45" s="9" t="s">
        <v>61</v>
      </c>
      <c r="D45" s="15">
        <f>(D8/(D21*D22))+(D9*6/(D21^2*D22))-(D10*6/(D22^2*D21))</f>
        <v>48.992468959902304</v>
      </c>
      <c r="E45" s="9" t="s">
        <v>34</v>
      </c>
    </row>
    <row r="46" spans="1:10" ht="15" customHeight="1">
      <c r="B46" s="9" t="s">
        <v>62</v>
      </c>
      <c r="D46" s="15">
        <f>($D$8/($D$21*$D$22))+($D$9*6/($D$21^2*$D$22))+($D$10*6/($D$22^2*$D$21))</f>
        <v>90.02646041115409</v>
      </c>
      <c r="E46" s="9" t="s">
        <v>34</v>
      </c>
    </row>
    <row r="47" spans="1:10" ht="15" customHeight="1">
      <c r="B47" s="11" t="s">
        <v>63</v>
      </c>
      <c r="D47" s="15">
        <f>D28*D23^2/2</f>
        <v>10.156110065133321</v>
      </c>
      <c r="E47" s="9" t="s">
        <v>26</v>
      </c>
    </row>
    <row r="48" spans="1:10" ht="15" customHeight="1">
      <c r="B48" s="9" t="s">
        <v>64</v>
      </c>
      <c r="D48" s="15">
        <f>D14*D47</f>
        <v>10.156110065133321</v>
      </c>
      <c r="E48" s="9" t="s">
        <v>26</v>
      </c>
    </row>
    <row r="49" spans="1:10" ht="15" customHeight="1">
      <c r="B49" s="9" t="s">
        <v>65</v>
      </c>
      <c r="D49" s="15">
        <f>SQRT((D48*10^6)/(0.36*D6*(0.0035/(0.0055+0.87*D7/200000))*(1-0.416*(0.0035/(0.0055+0.87*D7/200000)))*1000))</f>
        <v>60.63849586275623</v>
      </c>
      <c r="E49" s="9" t="s">
        <v>29</v>
      </c>
      <c r="G49" s="18"/>
      <c r="H49" s="17"/>
      <c r="J49" s="18"/>
    </row>
    <row r="50" spans="1:10" ht="15" customHeight="1">
      <c r="B50" s="9" t="s">
        <v>66</v>
      </c>
      <c r="D50" s="10">
        <v>350</v>
      </c>
      <c r="E50" s="9" t="s">
        <v>29</v>
      </c>
    </row>
    <row r="51" spans="1:10" ht="15" customHeight="1">
      <c r="B51" s="11" t="s">
        <v>67</v>
      </c>
      <c r="D51" s="15">
        <f>D48*10^6/(D50^2*1000)</f>
        <v>8.2907020939863837E-2</v>
      </c>
      <c r="E51" s="9" t="s">
        <v>68</v>
      </c>
    </row>
    <row r="52" spans="1:10" ht="15" customHeight="1">
      <c r="B52" s="9" t="s">
        <v>69</v>
      </c>
      <c r="D52" s="20">
        <f>IF((1-SQRT(1-4*1.005/0.87*D51/D6))/(0.02*1.005*D7/D6)&lt;0.205,0.12,(1-SQRT(1-4*1.005/0.87*D51/D6))/(0.02*1.005*D7/D6))</f>
        <v>0.12</v>
      </c>
      <c r="E52" s="9" t="s">
        <v>70</v>
      </c>
    </row>
    <row r="53" spans="1:10" ht="15" customHeight="1">
      <c r="B53" s="9" t="s">
        <v>71</v>
      </c>
      <c r="D53" s="27">
        <f>D52*1000*D50/100</f>
        <v>420</v>
      </c>
      <c r="E53" s="9" t="s">
        <v>72</v>
      </c>
    </row>
    <row r="54" spans="1:10" ht="15" customHeight="1">
      <c r="B54" s="9" t="s">
        <v>73</v>
      </c>
      <c r="D54" s="21" t="s">
        <v>74</v>
      </c>
      <c r="E54" s="22" t="s">
        <v>75</v>
      </c>
      <c r="G54" s="18"/>
      <c r="I54" s="18"/>
      <c r="J54" s="18"/>
    </row>
    <row r="56" spans="1:10" ht="15" customHeight="1">
      <c r="A56" s="8" t="s">
        <v>76</v>
      </c>
    </row>
    <row r="57" spans="1:10" ht="15" customHeight="1">
      <c r="B57" s="23" t="s">
        <v>88</v>
      </c>
    </row>
    <row r="58" spans="1:10" ht="15" customHeight="1">
      <c r="B58" s="9" t="s">
        <v>77</v>
      </c>
      <c r="D58" s="15">
        <f>1.5*(D28*(D23-D50/1000)*D22)</f>
        <v>28.695934256055367</v>
      </c>
      <c r="E58" s="9" t="s">
        <v>23</v>
      </c>
    </row>
    <row r="59" spans="1:10" ht="15" customHeight="1">
      <c r="B59" s="9" t="s">
        <v>78</v>
      </c>
      <c r="C59" s="24"/>
      <c r="D59" s="15">
        <f>(0.85*SQRT(0.8*D6)*(SQRT(1+5*IF(0.8*D6/6.89/D52&lt;1,1,0.8*D6/6.89/D52))-1)/(6*IF(0.8*D6/6.89/D52&lt;1,1,0.8*D6/6.89/D52)))*D50*D22</f>
        <v>154.84410512563025</v>
      </c>
      <c r="E59" s="9" t="s">
        <v>23</v>
      </c>
      <c r="F59" s="9" t="str">
        <f>IF(D59&gt;D58,"Safe","Redesign")</f>
        <v>Safe</v>
      </c>
    </row>
    <row r="60" spans="1:10" ht="15" customHeight="1">
      <c r="C60" s="15"/>
    </row>
    <row r="61" spans="1:10" ht="15" customHeight="1">
      <c r="B61" s="23" t="s">
        <v>89</v>
      </c>
    </row>
    <row r="62" spans="1:10" ht="15" customHeight="1">
      <c r="B62" s="11" t="s">
        <v>79</v>
      </c>
      <c r="D62" s="9">
        <f>2*((D50+D11)+(D50+D12))</f>
        <v>4200</v>
      </c>
      <c r="E62" s="9" t="s">
        <v>29</v>
      </c>
    </row>
    <row r="63" spans="1:10" ht="15" customHeight="1">
      <c r="B63" s="9" t="s">
        <v>80</v>
      </c>
      <c r="D63" s="15">
        <f>D28*(D22*D21-((D12+D50/2)*(D11+D50/2)/1000000))</f>
        <v>191.47502798697332</v>
      </c>
      <c r="E63" s="9" t="s">
        <v>23</v>
      </c>
    </row>
    <row r="64" spans="1:10" ht="15" customHeight="1">
      <c r="B64" s="9" t="s">
        <v>81</v>
      </c>
      <c r="D64" s="15">
        <f>D63*1000/(D62*D50)</f>
        <v>0.13025512107957368</v>
      </c>
      <c r="E64" s="9" t="s">
        <v>68</v>
      </c>
    </row>
    <row r="65" spans="1:6" ht="15" customHeight="1">
      <c r="B65" s="9" t="s">
        <v>82</v>
      </c>
      <c r="D65" s="15">
        <f>0.16*SQRT(D6)*IF((0.5+D12/D11)&gt;1,1,(0.5+D12/D11))</f>
        <v>0.71554175279993271</v>
      </c>
      <c r="E65" s="9" t="s">
        <v>68</v>
      </c>
      <c r="F65" s="9" t="str">
        <f>IF(D65&gt;D64,"Safe","Redesign")</f>
        <v>Safe</v>
      </c>
    </row>
    <row r="67" spans="1:6" ht="15" customHeight="1">
      <c r="A67" s="8" t="s">
        <v>83</v>
      </c>
    </row>
    <row r="68" spans="1:6" ht="15" customHeight="1">
      <c r="B68" s="11" t="s">
        <v>84</v>
      </c>
    </row>
    <row r="69" spans="1:6" ht="15" customHeight="1">
      <c r="B69" s="9" t="s">
        <v>62</v>
      </c>
      <c r="D69" s="15">
        <f>D28</f>
        <v>90.02646041115409</v>
      </c>
      <c r="E69" s="9" t="s">
        <v>34</v>
      </c>
    </row>
    <row r="70" spans="1:6" ht="15" customHeight="1">
      <c r="B70" s="9" t="s">
        <v>85</v>
      </c>
      <c r="D70" s="15">
        <f>(D8/(D21*D22))-(D9*6/(D21^2*D22))+(D10*6/(D22^2*D21))</f>
        <v>54.121717891308784</v>
      </c>
      <c r="E70" s="9" t="s">
        <v>34</v>
      </c>
    </row>
    <row r="71" spans="1:6" ht="15" customHeight="1">
      <c r="B71" s="11" t="s">
        <v>86</v>
      </c>
      <c r="D71" s="15">
        <f>D28*D24^2/2</f>
        <v>12.406771575412169</v>
      </c>
      <c r="E71" s="9" t="s">
        <v>26</v>
      </c>
    </row>
    <row r="72" spans="1:6" ht="15" customHeight="1">
      <c r="B72" s="9" t="s">
        <v>64</v>
      </c>
      <c r="D72" s="15">
        <f>D14*D71</f>
        <v>12.406771575412169</v>
      </c>
      <c r="E72" s="9" t="s">
        <v>26</v>
      </c>
    </row>
    <row r="73" spans="1:6" ht="15" customHeight="1">
      <c r="B73" s="9" t="s">
        <v>65</v>
      </c>
      <c r="D73" s="15">
        <f>SQRT(D72*10^6/((0.36*D6*0.0035/(0.0055+0.87*D7/200000)*(1-(0.416*0.0035/(0.0055+0.87*D7/200000))))*1000))</f>
        <v>67.02149542725688</v>
      </c>
      <c r="E73" s="15" t="s">
        <v>29</v>
      </c>
    </row>
    <row r="74" spans="1:6" ht="15" customHeight="1">
      <c r="B74" s="9" t="s">
        <v>66</v>
      </c>
      <c r="D74" s="10">
        <v>550</v>
      </c>
      <c r="E74" s="9" t="s">
        <v>29</v>
      </c>
    </row>
    <row r="75" spans="1:6" ht="15" customHeight="1">
      <c r="B75" s="9" t="s">
        <v>87</v>
      </c>
      <c r="D75" s="15">
        <f>D72*10^6/(D74^2*1000)</f>
        <v>4.101412091045345E-2</v>
      </c>
    </row>
    <row r="76" spans="1:6" ht="15" customHeight="1">
      <c r="B76" s="9" t="s">
        <v>69</v>
      </c>
      <c r="D76" s="20">
        <f>IF((1-SQRT(1-4*1.005/0.87*D75/D6))/(0.02*1.005*D7/D6)&lt;0.12,0.12,(1-SQRT(1-4*1.005/0.87*D75/D6))/(0.02*1.005*D7/D6))</f>
        <v>0.12</v>
      </c>
      <c r="E76" s="9" t="s">
        <v>70</v>
      </c>
    </row>
    <row r="77" spans="1:6" ht="15" customHeight="1">
      <c r="B77" s="9" t="s">
        <v>71</v>
      </c>
      <c r="D77" s="27">
        <f>D76*10*D74</f>
        <v>660</v>
      </c>
      <c r="E77" s="11" t="s">
        <v>72</v>
      </c>
    </row>
    <row r="78" spans="1:6" ht="15" customHeight="1">
      <c r="B78" s="9" t="s">
        <v>73</v>
      </c>
      <c r="D78" s="21" t="s">
        <v>74</v>
      </c>
      <c r="E78" s="22" t="s">
        <v>75</v>
      </c>
    </row>
  </sheetData>
  <sheetProtection selectLockedCells="1" selectUnlockedCells="1"/>
  <mergeCells count="1">
    <mergeCell ref="E4:J4"/>
  </mergeCells>
  <conditionalFormatting sqref="G22">
    <cfRule type="cellIs" dxfId="13" priority="1" stopIfTrue="1" operator="equal">
      <formula>"select appropiate size of footing"</formula>
    </cfRule>
  </conditionalFormatting>
  <conditionalFormatting sqref="F28">
    <cfRule type="cellIs" dxfId="12" priority="2" stopIfTrue="1" operator="equal">
      <formula>"&lt;SBC"</formula>
    </cfRule>
    <cfRule type="expression" dxfId="11" priority="3" stopIfTrue="1">
      <formula>$D$28&gt;$D$13</formula>
    </cfRule>
  </conditionalFormatting>
  <conditionalFormatting sqref="F30">
    <cfRule type="cellIs" dxfId="10" priority="4" stopIfTrue="1" operator="equal">
      <formula>"safe"</formula>
    </cfRule>
    <cfRule type="expression" dxfId="9" priority="5" stopIfTrue="1">
      <formula>$D$30&lt;0</formula>
    </cfRule>
  </conditionalFormatting>
  <conditionalFormatting sqref="F59 F65">
    <cfRule type="cellIs" dxfId="8" priority="6" stopIfTrue="1" operator="equal">
      <formula>"safe"</formula>
    </cfRule>
    <cfRule type="cellIs" dxfId="7" priority="7" stopIfTrue="1" operator="equal">
      <formula>"redesign"</formula>
    </cfRule>
  </conditionalFormatting>
  <dataValidations count="1">
    <dataValidation type="list" operator="equal" allowBlank="1" sqref="D74" xr:uid="{00000000-0002-0000-0100-000000000000}">
      <formula1>D50</formula1>
      <formula2>0</formula2>
    </dataValidation>
  </dataValidations>
  <pageMargins left="0.47013888888888888" right="0.3" top="0.98402777777777772" bottom="0.92013888888888884" header="0.51180555555555551" footer="0.51180555555555551"/>
  <pageSetup paperSize="9" firstPageNumber="0" orientation="portrait" horizontalDpi="300" verticalDpi="300" r:id="rId1"/>
  <headerFooter alignWithMargins="0"/>
  <customProperties>
    <customPr name="SSCSheetTrackingNo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"/>
  <sheetViews>
    <sheetView workbookViewId="0"/>
  </sheetViews>
  <sheetFormatPr defaultRowHeight="12.75"/>
  <sheetData>
    <row r="1" spans="1:5">
      <c r="A1" t="s">
        <v>120</v>
      </c>
      <c r="C1" t="s">
        <v>96</v>
      </c>
      <c r="D1" t="s">
        <v>124</v>
      </c>
      <c r="E1" t="s">
        <v>123</v>
      </c>
    </row>
    <row r="2" spans="1:5">
      <c r="A2" t="s">
        <v>121</v>
      </c>
      <c r="C2" t="s">
        <v>95</v>
      </c>
    </row>
    <row r="3" spans="1:5">
      <c r="A3" t="s">
        <v>122</v>
      </c>
      <c r="C3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88"/>
  <sheetViews>
    <sheetView showGridLines="0" tabSelected="1" topLeftCell="A10" zoomScaleNormal="100" workbookViewId="0">
      <selection activeCell="O20" sqref="O20"/>
    </sheetView>
  </sheetViews>
  <sheetFormatPr defaultRowHeight="15" customHeight="1"/>
  <cols>
    <col min="1" max="3" width="9.140625" style="32"/>
    <col min="4" max="4" width="12" style="32" customWidth="1"/>
    <col min="5" max="5" width="9.5703125" style="32" bestFit="1" customWidth="1"/>
    <col min="6" max="9" width="9.140625" style="32"/>
    <col min="10" max="10" width="10.28515625" style="32" bestFit="1" customWidth="1"/>
    <col min="11" max="12" width="9.140625" style="32"/>
    <col min="13" max="13" width="10.28515625" style="32" bestFit="1" customWidth="1"/>
    <col min="14" max="16384" width="9.140625" style="32"/>
  </cols>
  <sheetData>
    <row r="1" spans="1:13" ht="15" customHeight="1">
      <c r="A1" s="31" t="s">
        <v>117</v>
      </c>
      <c r="B1" s="31"/>
      <c r="C1" s="31"/>
      <c r="D1" s="31"/>
      <c r="E1" s="31"/>
      <c r="M1" s="33"/>
    </row>
    <row r="2" spans="1:13" ht="15" customHeight="1">
      <c r="A2" s="62" t="s">
        <v>118</v>
      </c>
      <c r="B2" s="62"/>
      <c r="C2" s="62"/>
      <c r="D2" s="62"/>
      <c r="E2" s="62"/>
    </row>
    <row r="3" spans="1:13" ht="15" customHeight="1">
      <c r="A3" s="34"/>
      <c r="B3" s="34"/>
      <c r="C3" s="34"/>
      <c r="D3" s="34"/>
      <c r="E3" s="34"/>
    </row>
    <row r="4" spans="1:13" ht="15" customHeight="1">
      <c r="A4" s="34"/>
      <c r="B4" s="34"/>
      <c r="C4" s="34"/>
      <c r="D4" s="34"/>
      <c r="E4" s="34"/>
    </row>
    <row r="6" spans="1:13" ht="15" customHeight="1">
      <c r="A6" s="35" t="s">
        <v>17</v>
      </c>
      <c r="B6" s="32" t="s">
        <v>18</v>
      </c>
      <c r="D6" s="36"/>
      <c r="E6" s="60"/>
      <c r="F6" s="60"/>
      <c r="G6" s="60"/>
      <c r="H6" s="60"/>
      <c r="I6" s="60"/>
      <c r="J6" s="60"/>
    </row>
    <row r="7" spans="1:13" ht="15" customHeight="1">
      <c r="B7" s="32" t="s">
        <v>19</v>
      </c>
      <c r="D7" s="55">
        <v>37</v>
      </c>
    </row>
    <row r="8" spans="1:13" ht="15" customHeight="1">
      <c r="B8" s="37" t="s">
        <v>20</v>
      </c>
      <c r="D8" s="55">
        <v>30</v>
      </c>
    </row>
    <row r="9" spans="1:13" ht="15" customHeight="1">
      <c r="B9" s="32" t="s">
        <v>21</v>
      </c>
      <c r="D9" s="55">
        <v>500</v>
      </c>
    </row>
    <row r="10" spans="1:13" ht="15" customHeight="1">
      <c r="B10" s="37" t="s">
        <v>22</v>
      </c>
      <c r="D10" s="55">
        <v>1028</v>
      </c>
      <c r="E10" s="32" t="s">
        <v>23</v>
      </c>
      <c r="H10" s="37"/>
      <c r="I10" s="37"/>
    </row>
    <row r="11" spans="1:13" ht="15" customHeight="1">
      <c r="B11" s="37" t="s">
        <v>25</v>
      </c>
      <c r="D11" s="55">
        <v>138</v>
      </c>
      <c r="E11" s="37" t="s">
        <v>26</v>
      </c>
    </row>
    <row r="12" spans="1:13" ht="15" customHeight="1">
      <c r="B12" s="37" t="s">
        <v>27</v>
      </c>
      <c r="D12" s="55">
        <v>30</v>
      </c>
      <c r="E12" s="32" t="s">
        <v>26</v>
      </c>
    </row>
    <row r="13" spans="1:13" ht="15" customHeight="1">
      <c r="B13" s="37" t="s">
        <v>28</v>
      </c>
      <c r="D13" s="55">
        <v>600</v>
      </c>
      <c r="E13" s="32" t="s">
        <v>29</v>
      </c>
      <c r="G13" s="38"/>
    </row>
    <row r="14" spans="1:13" ht="15" customHeight="1">
      <c r="B14" s="37" t="s">
        <v>30</v>
      </c>
      <c r="D14" s="55">
        <v>350</v>
      </c>
      <c r="E14" s="32" t="s">
        <v>29</v>
      </c>
      <c r="I14" s="39"/>
      <c r="J14" s="39"/>
      <c r="K14" s="32">
        <v>20</v>
      </c>
      <c r="L14" s="32" t="s">
        <v>125</v>
      </c>
    </row>
    <row r="15" spans="1:13" ht="15" customHeight="1">
      <c r="B15" s="32" t="s">
        <v>33</v>
      </c>
      <c r="D15" s="55">
        <v>250</v>
      </c>
      <c r="E15" s="32" t="s">
        <v>101</v>
      </c>
      <c r="K15" s="32">
        <f>K14*1.25</f>
        <v>25</v>
      </c>
      <c r="L15" s="32" t="s">
        <v>125</v>
      </c>
    </row>
    <row r="16" spans="1:13" ht="15" customHeight="1">
      <c r="B16" s="32" t="s">
        <v>35</v>
      </c>
      <c r="D16" s="56">
        <v>1.5</v>
      </c>
    </row>
    <row r="18" spans="1:19" ht="15" customHeight="1">
      <c r="A18" s="35" t="s">
        <v>36</v>
      </c>
      <c r="B18" s="32" t="s">
        <v>37</v>
      </c>
      <c r="D18" s="32">
        <f>D10</f>
        <v>1028</v>
      </c>
      <c r="E18" s="32" t="s">
        <v>23</v>
      </c>
      <c r="I18" s="39"/>
    </row>
    <row r="19" spans="1:19" ht="15" customHeight="1">
      <c r="B19" s="32" t="s">
        <v>39</v>
      </c>
      <c r="D19" s="32">
        <f>0.1*D18</f>
        <v>102.80000000000001</v>
      </c>
      <c r="E19" s="37" t="s">
        <v>23</v>
      </c>
    </row>
    <row r="20" spans="1:19" ht="15" customHeight="1">
      <c r="B20" s="32" t="s">
        <v>40</v>
      </c>
      <c r="D20" s="32">
        <f>SUM(D18:D19)</f>
        <v>1130.8</v>
      </c>
      <c r="E20" s="32" t="s">
        <v>23</v>
      </c>
    </row>
    <row r="22" spans="1:19" ht="15" customHeight="1">
      <c r="B22" s="32" t="s">
        <v>41</v>
      </c>
      <c r="D22" s="40">
        <f>D20/D15</f>
        <v>4.5232000000000001</v>
      </c>
      <c r="E22" s="32" t="s">
        <v>42</v>
      </c>
      <c r="H22" s="39"/>
    </row>
    <row r="23" spans="1:19" ht="15" customHeight="1">
      <c r="B23" s="32" t="s">
        <v>44</v>
      </c>
      <c r="D23" s="55">
        <v>2.75</v>
      </c>
      <c r="E23" s="32" t="s">
        <v>45</v>
      </c>
      <c r="I23" s="41"/>
    </row>
    <row r="24" spans="1:19" ht="15" customHeight="1">
      <c r="B24" s="37" t="s">
        <v>46</v>
      </c>
      <c r="D24" s="55">
        <v>2.25</v>
      </c>
      <c r="E24" s="32" t="s">
        <v>45</v>
      </c>
    </row>
    <row r="25" spans="1:19" ht="15" customHeight="1">
      <c r="B25" s="37" t="s">
        <v>47</v>
      </c>
      <c r="D25" s="42">
        <f>(D23-D13/1000)/2</f>
        <v>1.075</v>
      </c>
      <c r="E25" s="32" t="s">
        <v>45</v>
      </c>
    </row>
    <row r="26" spans="1:19" ht="15" customHeight="1">
      <c r="B26" s="37" t="s">
        <v>48</v>
      </c>
      <c r="D26" s="42">
        <f>(D24-D14/1000)/2</f>
        <v>0.95</v>
      </c>
      <c r="E26" s="32" t="s">
        <v>45</v>
      </c>
      <c r="G26" s="43"/>
      <c r="I26" s="43"/>
      <c r="J26" s="43"/>
    </row>
    <row r="28" spans="1:19" ht="15" customHeight="1">
      <c r="B28" s="32" t="s">
        <v>49</v>
      </c>
      <c r="M28" s="43"/>
      <c r="N28" s="43"/>
      <c r="O28" s="43"/>
      <c r="P28" s="43"/>
      <c r="Q28" s="43"/>
      <c r="R28" s="43"/>
      <c r="S28" s="43"/>
    </row>
    <row r="29" spans="1:19" ht="15" customHeight="1">
      <c r="B29" s="37" t="s">
        <v>50</v>
      </c>
      <c r="M29" s="43"/>
      <c r="N29" s="43"/>
      <c r="O29" s="43"/>
      <c r="P29" s="43"/>
      <c r="Q29" s="43"/>
      <c r="R29" s="43"/>
      <c r="S29" s="43"/>
    </row>
    <row r="30" spans="1:19" ht="15" customHeight="1">
      <c r="B30" s="32" t="s">
        <v>51</v>
      </c>
      <c r="D30" s="40">
        <f>(D10/(D23*D24))+(D11*6/(D23^2*D24))+(D12*6/(D24^2*D23))</f>
        <v>227.73186409550047</v>
      </c>
      <c r="E30" s="32" t="s">
        <v>101</v>
      </c>
      <c r="F30" s="32" t="str">
        <f>IF(D30&gt;D15,"Warning !! &gt;SBC"," ")</f>
        <v xml:space="preserve"> </v>
      </c>
    </row>
    <row r="31" spans="1:19" ht="15" customHeight="1">
      <c r="B31" s="37" t="s">
        <v>52</v>
      </c>
    </row>
    <row r="32" spans="1:19" ht="15" customHeight="1">
      <c r="B32" s="32" t="s">
        <v>53</v>
      </c>
      <c r="D32" s="40">
        <f>(D10/(D23*D24))-(D11*6/(D23^2*D24))-(D12*6/(D24^2*D23))</f>
        <v>104.55096418732782</v>
      </c>
      <c r="E32" s="32" t="s">
        <v>101</v>
      </c>
      <c r="F32" s="32" t="str">
        <f>IF(D32&lt;0,"Warning !! &lt;Zero"," ")</f>
        <v xml:space="preserve"> </v>
      </c>
    </row>
    <row r="35" spans="1:10" ht="15" customHeight="1">
      <c r="G35" s="43"/>
      <c r="J35" s="39"/>
    </row>
    <row r="36" spans="1:10" ht="15" customHeight="1">
      <c r="A36" s="35" t="s">
        <v>54</v>
      </c>
    </row>
    <row r="37" spans="1:10" ht="15" customHeight="1">
      <c r="B37" s="32" t="s">
        <v>55</v>
      </c>
      <c r="D37" s="40">
        <f>D30*D23/(D30+IF(D32&lt;0,-D32,D32))</f>
        <v>1.8847276264591442</v>
      </c>
      <c r="E37" s="32" t="s">
        <v>45</v>
      </c>
    </row>
    <row r="38" spans="1:10" ht="15" customHeight="1">
      <c r="B38" s="32" t="s">
        <v>56</v>
      </c>
      <c r="D38" s="40">
        <f>D23-D37</f>
        <v>0.86527237354085584</v>
      </c>
      <c r="E38" s="32" t="s">
        <v>45</v>
      </c>
      <c r="G38" s="43"/>
    </row>
    <row r="39" spans="1:10" ht="15" customHeight="1">
      <c r="B39" s="32" t="s">
        <v>57</v>
      </c>
      <c r="D39" s="32">
        <f>D23</f>
        <v>2.75</v>
      </c>
      <c r="E39" s="32" t="s">
        <v>45</v>
      </c>
      <c r="G39" s="43"/>
    </row>
    <row r="40" spans="1:10" ht="15" customHeight="1">
      <c r="B40" s="32" t="s">
        <v>58</v>
      </c>
      <c r="D40" s="40">
        <f>D39*2/3</f>
        <v>1.8333333333333333</v>
      </c>
      <c r="E40" s="32" t="s">
        <v>45</v>
      </c>
      <c r="I40" s="43"/>
      <c r="J40" s="43"/>
    </row>
    <row r="41" spans="1:10" ht="15" customHeight="1">
      <c r="D41" s="40"/>
      <c r="I41" s="43"/>
      <c r="J41" s="43"/>
    </row>
    <row r="42" spans="1:10" ht="15" customHeight="1">
      <c r="B42" s="32" t="s">
        <v>31</v>
      </c>
      <c r="D42" s="32">
        <f>+IF(D23&gt;D24,D24,D23)</f>
        <v>2.25</v>
      </c>
      <c r="E42" s="32" t="s">
        <v>45</v>
      </c>
    </row>
    <row r="43" spans="1:10" ht="15" customHeight="1">
      <c r="B43" s="32" t="s">
        <v>100</v>
      </c>
      <c r="D43" s="32">
        <f>+D10*D16/(D23*D24)</f>
        <v>249.21212121212122</v>
      </c>
      <c r="E43" s="32" t="s">
        <v>101</v>
      </c>
    </row>
    <row r="44" spans="1:10" ht="15" customHeight="1">
      <c r="B44" s="32" t="s">
        <v>102</v>
      </c>
      <c r="D44" s="32">
        <f>+IF(D43&gt;D30, D43,D30)</f>
        <v>249.21212121212122</v>
      </c>
      <c r="E44" s="32" t="s">
        <v>101</v>
      </c>
    </row>
    <row r="45" spans="1:10" ht="15" customHeight="1">
      <c r="A45" s="35" t="s">
        <v>76</v>
      </c>
      <c r="G45" s="43"/>
      <c r="I45" s="43"/>
      <c r="J45" s="43"/>
    </row>
    <row r="46" spans="1:10" ht="15" customHeight="1">
      <c r="B46" s="44" t="s">
        <v>107</v>
      </c>
      <c r="G46" s="43"/>
      <c r="I46" s="43"/>
      <c r="J46" s="43"/>
    </row>
    <row r="47" spans="1:10" ht="15" customHeight="1">
      <c r="B47" s="37" t="s">
        <v>97</v>
      </c>
      <c r="D47" s="45">
        <v>0.25</v>
      </c>
      <c r="E47" s="32" t="s">
        <v>70</v>
      </c>
      <c r="F47" s="61"/>
      <c r="G47" s="61"/>
      <c r="I47" s="43"/>
      <c r="J47" s="43"/>
    </row>
    <row r="48" spans="1:10" ht="15" customHeight="1">
      <c r="B48" s="37" t="s">
        <v>110</v>
      </c>
      <c r="D48" s="45">
        <f>ROUND(0.85*SQRT(0.8*D8)*((SQRT(1+5*IF(((0.8*D8)/(6.89*D47))&gt;1,((0.8*D8)/(6.89*D47)),1)))-1)/(6*IF(((0.8*D8)/(6.89*D47))&gt;1,((0.8*D8)/(6.89*D47)),1)),2)</f>
        <v>0.37</v>
      </c>
      <c r="E48" s="32" t="s">
        <v>98</v>
      </c>
      <c r="F48" s="61"/>
      <c r="G48" s="61"/>
      <c r="I48" s="43"/>
      <c r="J48" s="43"/>
    </row>
    <row r="49" spans="1:10" ht="15" customHeight="1">
      <c r="B49" s="37" t="s">
        <v>111</v>
      </c>
      <c r="D49" s="45">
        <f>+(D30+D32)*1.5*0.5*(D26-D51/1000)*D42</f>
        <v>224.29090909090903</v>
      </c>
      <c r="F49" s="46"/>
      <c r="G49" s="46"/>
      <c r="I49" s="43"/>
      <c r="J49" s="43"/>
    </row>
    <row r="50" spans="1:10" ht="15" customHeight="1">
      <c r="B50" s="32" t="s">
        <v>99</v>
      </c>
      <c r="D50" s="40">
        <f>+(D44/1000)*IF(D25&gt;=D26,D25*1000,D26*1000)/(D48+D44/1000)</f>
        <v>432.65146324752868</v>
      </c>
      <c r="E50" s="32" t="s">
        <v>29</v>
      </c>
      <c r="G50" s="43"/>
      <c r="I50" s="43"/>
      <c r="J50" s="43"/>
    </row>
    <row r="51" spans="1:10" ht="15" customHeight="1">
      <c r="B51" s="32" t="s">
        <v>66</v>
      </c>
      <c r="C51" s="45"/>
      <c r="D51" s="47">
        <v>550</v>
      </c>
      <c r="E51" s="32" t="s">
        <v>29</v>
      </c>
      <c r="G51" s="43"/>
      <c r="I51" s="43"/>
      <c r="J51" s="43"/>
    </row>
    <row r="52" spans="1:10" ht="15" customHeight="1">
      <c r="C52" s="40"/>
      <c r="G52" s="43"/>
      <c r="I52" s="43"/>
      <c r="J52" s="43"/>
    </row>
    <row r="53" spans="1:10" ht="15" customHeight="1">
      <c r="B53" s="44" t="s">
        <v>106</v>
      </c>
      <c r="G53" s="43"/>
      <c r="I53" s="43"/>
      <c r="J53" s="43"/>
    </row>
    <row r="54" spans="1:10" ht="15" customHeight="1">
      <c r="B54" s="37" t="s">
        <v>79</v>
      </c>
      <c r="D54" s="32">
        <f>2*(2*D51+D13+D14)</f>
        <v>4100</v>
      </c>
      <c r="E54" s="32" t="s">
        <v>29</v>
      </c>
      <c r="G54" s="43"/>
      <c r="I54" s="43"/>
      <c r="J54" s="43"/>
    </row>
    <row r="55" spans="1:10" ht="15" customHeight="1">
      <c r="B55" s="32" t="s">
        <v>80</v>
      </c>
      <c r="D55" s="40">
        <f>D44*(D24*D23-((D14+D51)*(D13+D51)/1000000))</f>
        <v>1284.0654545454545</v>
      </c>
      <c r="E55" s="32" t="s">
        <v>23</v>
      </c>
      <c r="G55" s="43"/>
      <c r="I55" s="43"/>
      <c r="J55" s="43"/>
    </row>
    <row r="56" spans="1:10" ht="15" customHeight="1">
      <c r="B56" s="32" t="s">
        <v>103</v>
      </c>
      <c r="D56" s="40">
        <f>IF(D13&gt;=D14, IF((0.5+D13/D14)&gt;=1, 1, (0.5+D13/D14)), IF((0.5+D14/D13)&gt;=1, 1, (0.5+D14/D13)))</f>
        <v>1</v>
      </c>
      <c r="G56" s="43"/>
      <c r="I56" s="43"/>
      <c r="J56" s="43"/>
    </row>
    <row r="57" spans="1:10" ht="15" customHeight="1">
      <c r="B57" s="32" t="s">
        <v>104</v>
      </c>
      <c r="D57" s="40">
        <f>0.25*SQRT(D8)</f>
        <v>1.3693063937629153</v>
      </c>
      <c r="E57" s="32" t="s">
        <v>98</v>
      </c>
      <c r="G57" s="43"/>
      <c r="I57" s="43"/>
      <c r="J57" s="43"/>
    </row>
    <row r="58" spans="1:10" ht="15" customHeight="1">
      <c r="B58" s="32" t="s">
        <v>112</v>
      </c>
      <c r="D58" s="40">
        <f>D55*1000/(D54*D51)</f>
        <v>0.56943035678290665</v>
      </c>
      <c r="E58" s="32" t="s">
        <v>98</v>
      </c>
      <c r="G58" s="43"/>
      <c r="I58" s="43"/>
      <c r="J58" s="43"/>
    </row>
    <row r="59" spans="1:10" ht="15" customHeight="1">
      <c r="B59" s="32" t="s">
        <v>105</v>
      </c>
      <c r="D59" s="40">
        <f>+D56*D57*(2*((D13+D51)+(D14+D51))*D51)/1000</f>
        <v>3087.7859179353741</v>
      </c>
      <c r="E59" s="32" t="s">
        <v>98</v>
      </c>
      <c r="F59" s="31" t="str">
        <f>IF(D59&gt;D55,"Safe","Redesign")</f>
        <v>Safe</v>
      </c>
      <c r="G59" s="43"/>
      <c r="I59" s="43"/>
      <c r="J59" s="43"/>
    </row>
    <row r="60" spans="1:10" ht="15" customHeight="1">
      <c r="G60" s="43"/>
      <c r="I60" s="43"/>
      <c r="J60" s="43"/>
    </row>
    <row r="61" spans="1:10" ht="15" customHeight="1">
      <c r="G61" s="43"/>
      <c r="I61" s="43"/>
      <c r="J61" s="43"/>
    </row>
    <row r="62" spans="1:10" ht="15" customHeight="1">
      <c r="A62" s="35" t="s">
        <v>59</v>
      </c>
      <c r="D62" s="48"/>
    </row>
    <row r="64" spans="1:10" ht="15" customHeight="1">
      <c r="B64" s="32" t="s">
        <v>60</v>
      </c>
    </row>
    <row r="65" spans="1:10" ht="15" customHeight="1">
      <c r="B65" s="32" t="s">
        <v>61</v>
      </c>
      <c r="D65" s="40">
        <f>(D10/(D23*D24))+(D11*6/(D23^2*D24))-(D12*6/(D24^2*D23))</f>
        <v>201.87327823691462</v>
      </c>
      <c r="E65" s="32" t="s">
        <v>101</v>
      </c>
    </row>
    <row r="66" spans="1:10" ht="15" customHeight="1">
      <c r="B66" s="32" t="s">
        <v>62</v>
      </c>
      <c r="D66" s="40">
        <f>($D$10/($D$23*$D$24))+($D$11*6/($D$23^2*$D$24))+($D$12*6/($D$24^2*$D$23))</f>
        <v>227.73186409550047</v>
      </c>
      <c r="E66" s="32" t="s">
        <v>101</v>
      </c>
    </row>
    <row r="67" spans="1:10" ht="15" customHeight="1">
      <c r="B67" s="37" t="s">
        <v>63</v>
      </c>
      <c r="D67" s="40">
        <f>D44*D25^2/2</f>
        <v>143.99787878787879</v>
      </c>
      <c r="E67" s="32" t="s">
        <v>26</v>
      </c>
    </row>
    <row r="68" spans="1:10" ht="15" customHeight="1">
      <c r="B68" s="32" t="s">
        <v>64</v>
      </c>
      <c r="D68" s="40">
        <f>D16*D67</f>
        <v>215.99681818181818</v>
      </c>
      <c r="E68" s="32" t="s">
        <v>26</v>
      </c>
    </row>
    <row r="69" spans="1:10" ht="15" customHeight="1">
      <c r="B69" s="32" t="s">
        <v>66</v>
      </c>
      <c r="D69" s="49">
        <f>+D51</f>
        <v>550</v>
      </c>
      <c r="E69" s="32" t="s">
        <v>29</v>
      </c>
    </row>
    <row r="70" spans="1:10" ht="15" customHeight="1">
      <c r="B70" s="37" t="s">
        <v>67</v>
      </c>
      <c r="D70" s="40">
        <f>D68*10^6/(D69^2*1000)</f>
        <v>0.71403906836964692</v>
      </c>
      <c r="E70" s="32" t="s">
        <v>98</v>
      </c>
    </row>
    <row r="71" spans="1:10" ht="15" customHeight="1">
      <c r="B71" s="32" t="s">
        <v>69</v>
      </c>
      <c r="D71" s="50">
        <f>IF((1-SQRT(1-4*1.005/0.87*D70/D8))/(0.02*1.005*D9/D8)&lt;0.12,0.12,(1-SQRT(1-4*1.005/0.87*D70/D8))/(0.02*1.005*D9/D8))</f>
        <v>0.16892673263624314</v>
      </c>
      <c r="E71" s="32" t="s">
        <v>70</v>
      </c>
    </row>
    <row r="72" spans="1:10" ht="15" customHeight="1">
      <c r="B72" s="32" t="s">
        <v>108</v>
      </c>
      <c r="D72" s="50">
        <f>+IF(D71&gt;D47,D71,D47)</f>
        <v>0.25</v>
      </c>
    </row>
    <row r="73" spans="1:10" ht="15" customHeight="1">
      <c r="B73" s="32" t="s">
        <v>71</v>
      </c>
      <c r="D73" s="51">
        <f>+D72*1*D69*1000/100</f>
        <v>1375</v>
      </c>
      <c r="E73" s="32" t="s">
        <v>113</v>
      </c>
    </row>
    <row r="74" spans="1:10" ht="15" customHeight="1">
      <c r="B74" s="32" t="s">
        <v>73</v>
      </c>
      <c r="C74" s="39"/>
      <c r="D74" s="57">
        <v>16</v>
      </c>
      <c r="E74" s="58">
        <v>125</v>
      </c>
      <c r="G74" s="43"/>
      <c r="I74" s="43"/>
      <c r="J74" s="43"/>
    </row>
    <row r="75" spans="1:10" ht="15" customHeight="1">
      <c r="B75" s="31" t="s">
        <v>109</v>
      </c>
      <c r="C75" s="31"/>
      <c r="D75" s="52">
        <f>+D74*D74*0.25*3.14*(1*1000-100)/E74</f>
        <v>1446.912</v>
      </c>
      <c r="E75" s="31" t="s">
        <v>116</v>
      </c>
      <c r="F75" s="31"/>
    </row>
    <row r="77" spans="1:10" ht="15" customHeight="1">
      <c r="A77" s="35" t="s">
        <v>83</v>
      </c>
    </row>
    <row r="78" spans="1:10" ht="15" customHeight="1">
      <c r="B78" s="37" t="s">
        <v>84</v>
      </c>
    </row>
    <row r="79" spans="1:10" ht="15" customHeight="1">
      <c r="B79" s="32" t="s">
        <v>62</v>
      </c>
      <c r="D79" s="40">
        <f>D30</f>
        <v>227.73186409550047</v>
      </c>
      <c r="E79" s="32" t="s">
        <v>101</v>
      </c>
    </row>
    <row r="80" spans="1:10" ht="15" customHeight="1">
      <c r="B80" s="32" t="s">
        <v>85</v>
      </c>
      <c r="D80" s="40">
        <f>(D10/(D23*D24))-(D11*6/(D23^2*D24))+(D12*6/(D24^2*D23))</f>
        <v>130.40955004591368</v>
      </c>
      <c r="E80" s="32" t="s">
        <v>101</v>
      </c>
    </row>
    <row r="81" spans="2:5" ht="15" customHeight="1">
      <c r="B81" s="37" t="s">
        <v>86</v>
      </c>
      <c r="D81" s="40">
        <f>D44*D26^2/2</f>
        <v>112.45696969696969</v>
      </c>
      <c r="E81" s="32" t="s">
        <v>26</v>
      </c>
    </row>
    <row r="82" spans="2:5" ht="15" customHeight="1">
      <c r="B82" s="32" t="s">
        <v>64</v>
      </c>
      <c r="D82" s="40">
        <f>D16*D81</f>
        <v>168.68545454545455</v>
      </c>
      <c r="E82" s="32" t="s">
        <v>26</v>
      </c>
    </row>
    <row r="83" spans="2:5" ht="15" customHeight="1">
      <c r="B83" s="32" t="s">
        <v>65</v>
      </c>
      <c r="D83" s="40">
        <f>SQRT(D82*10^6/((0.36*D8*0.0035/(0.0055+0.87*D9/200000)*(1-(0.416*0.0035/(0.0055+0.87*D9/200000))))*1000))</f>
        <v>205.59427813097304</v>
      </c>
      <c r="E83" s="40" t="s">
        <v>29</v>
      </c>
    </row>
    <row r="84" spans="2:5" ht="15" customHeight="1">
      <c r="B84" s="32" t="s">
        <v>87</v>
      </c>
      <c r="D84" s="40">
        <f>D82*10^6/(D51^2*1000)</f>
        <v>0.55763786626596545</v>
      </c>
    </row>
    <row r="85" spans="2:5" ht="15" customHeight="1">
      <c r="B85" s="32" t="s">
        <v>69</v>
      </c>
      <c r="D85" s="50">
        <f>IF((1-SQRT(1-4*1.005/0.87*D84/D8))/(0.02*1.005*D9/D8)&lt;0.205,0.205,(1-SQRT(1-4*1.005/0.87*D84/D8))/(0.02*1.005*D9/D8))</f>
        <v>0.20499999999999999</v>
      </c>
      <c r="E85" s="32" t="s">
        <v>70</v>
      </c>
    </row>
    <row r="86" spans="2:5" ht="15" customHeight="1">
      <c r="B86" s="32" t="s">
        <v>71</v>
      </c>
      <c r="D86" s="53">
        <f>ROUND(D85*10*D51,0)</f>
        <v>1128</v>
      </c>
      <c r="E86" s="32" t="s">
        <v>113</v>
      </c>
    </row>
    <row r="87" spans="2:5" ht="15" customHeight="1">
      <c r="B87" s="32" t="s">
        <v>73</v>
      </c>
      <c r="D87" s="57">
        <v>16</v>
      </c>
      <c r="E87" s="58">
        <v>160</v>
      </c>
    </row>
    <row r="88" spans="2:5" ht="15" customHeight="1">
      <c r="B88" s="31" t="s">
        <v>114</v>
      </c>
      <c r="C88" s="31"/>
      <c r="D88" s="54">
        <f>ROUND(D87*D87*0.25*3.14*(1*1000-100)/E87,0)</f>
        <v>1130</v>
      </c>
      <c r="E88" s="31" t="s">
        <v>115</v>
      </c>
    </row>
  </sheetData>
  <protectedRanges>
    <protectedRange sqref="D23:D24 D47 D51 D74:E74 D87:E87" name="Range3"/>
    <protectedRange sqref="D6:D16 D23:D24 D47 D51 D74:E74 D87:E87" name="Range1" securityDescriptor="O:WDG:WDD:(A;;CC;;;WD)"/>
    <protectedRange sqref="D6:D16" name="Range2"/>
  </protectedRanges>
  <mergeCells count="3">
    <mergeCell ref="E6:J6"/>
    <mergeCell ref="F47:G48"/>
    <mergeCell ref="A2:E2"/>
  </mergeCells>
  <conditionalFormatting sqref="F24">
    <cfRule type="cellIs" dxfId="6" priority="7" stopIfTrue="1" operator="equal">
      <formula>"select appropiate size of footing"</formula>
    </cfRule>
  </conditionalFormatting>
  <conditionalFormatting sqref="F30">
    <cfRule type="cellIs" dxfId="5" priority="5" stopIfTrue="1" operator="equal">
      <formula>"&lt;SBC"</formula>
    </cfRule>
    <cfRule type="expression" dxfId="4" priority="6" stopIfTrue="1">
      <formula>$D$28&gt;$D$13</formula>
    </cfRule>
  </conditionalFormatting>
  <conditionalFormatting sqref="F32">
    <cfRule type="cellIs" dxfId="3" priority="3" stopIfTrue="1" operator="equal">
      <formula>"safe"</formula>
    </cfRule>
    <cfRule type="expression" dxfId="2" priority="4" stopIfTrue="1">
      <formula>$D$30&lt;0</formula>
    </cfRule>
  </conditionalFormatting>
  <conditionalFormatting sqref="F59 F51">
    <cfRule type="cellIs" dxfId="1" priority="1" stopIfTrue="1" operator="equal">
      <formula>"safe"</formula>
    </cfRule>
    <cfRule type="cellIs" dxfId="0" priority="2" stopIfTrue="1" operator="equal">
      <formula>"redesign"</formula>
    </cfRule>
  </conditionalFormatting>
  <pageMargins left="0.47013888888888888" right="0.3" top="0.98402777777777772" bottom="0.92013888888888884" header="0.51180555555555551" footer="0.51180555555555551"/>
  <pageSetup paperSize="9" firstPageNumber="0" orientation="portrait" horizontalDpi="300" verticalDpi="300" r:id="rId1"/>
  <headerFooter alignWithMargins="0"/>
  <rowBreaks count="1" manualBreakCount="1">
    <brk id="44" max="9" man="1"/>
  </rowBreaks>
  <customProperties>
    <customPr name="SSCSheetTrackingNo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Footing Design</vt:lpstr>
      <vt:lpstr>Isolated Footing Design</vt:lpstr>
      <vt:lpstr>'Isolated Footing Design'!Print_Area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 Mishra</dc:creator>
  <cp:lastModifiedBy>Barjinder Singh Ghai</cp:lastModifiedBy>
  <cp:lastPrinted>2013-04-12T12:15:54Z</cp:lastPrinted>
  <dcterms:created xsi:type="dcterms:W3CDTF">2010-12-14T11:00:49Z</dcterms:created>
  <dcterms:modified xsi:type="dcterms:W3CDTF">2019-05-12T11:24:47Z</dcterms:modified>
</cp:coreProperties>
</file>